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ndréanne\Recycle Québec et EEQ\2017\RQ\"/>
    </mc:Choice>
  </mc:AlternateContent>
  <bookViews>
    <workbookView xWindow="0" yWindow="0" windowWidth="25200" windowHeight="11685"/>
  </bookViews>
  <sheets>
    <sheet name="Sommaire" sheetId="1" r:id="rId1"/>
    <sheet name="Tonnes" sheetId="2" r:id="rId2"/>
  </sheets>
  <definedNames>
    <definedName name="_xlnm._FilterDatabase" localSheetId="1" hidden="1">Tonnes!$A$1:$T$1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37" i="2"/>
  <c r="C32" i="2"/>
  <c r="C30" i="2"/>
  <c r="C26" i="2"/>
  <c r="C28" i="2" s="1"/>
  <c r="D28" i="2" s="1"/>
  <c r="B15" i="1" s="1"/>
  <c r="W17" i="2"/>
  <c r="T17" i="2"/>
  <c r="T16" i="2"/>
  <c r="T15" i="2"/>
  <c r="X17" i="2" s="1"/>
  <c r="T14" i="2"/>
  <c r="U17" i="2" s="1"/>
  <c r="Y17" i="2" s="1"/>
  <c r="B18" i="1" s="1"/>
  <c r="U12" i="2"/>
  <c r="T12" i="2"/>
  <c r="X12" i="2" s="1"/>
  <c r="T11" i="2"/>
  <c r="T10" i="2"/>
  <c r="T9" i="2"/>
  <c r="X10" i="2" s="1"/>
  <c r="T8" i="2"/>
  <c r="T7" i="2"/>
  <c r="U10" i="2" s="1"/>
  <c r="T6" i="2"/>
  <c r="T5" i="2"/>
  <c r="X5" i="2" s="1"/>
  <c r="X19" i="2" s="1"/>
  <c r="T4" i="2"/>
  <c r="T3" i="2"/>
  <c r="T2" i="2"/>
  <c r="W5" i="2" s="1"/>
  <c r="B16" i="1"/>
  <c r="C16" i="1" s="1"/>
  <c r="Y12" i="2" l="1"/>
  <c r="B13" i="1" s="1"/>
  <c r="D18" i="1"/>
  <c r="C18" i="1"/>
  <c r="D15" i="1"/>
  <c r="C15" i="1"/>
  <c r="D16" i="1"/>
  <c r="W10" i="2"/>
  <c r="W19" i="2" s="1"/>
  <c r="U5" i="2"/>
  <c r="D13" i="1" l="1"/>
  <c r="C13" i="1"/>
  <c r="Y5" i="2"/>
  <c r="U19" i="2"/>
  <c r="Y10" i="2"/>
  <c r="B17" i="1" s="1"/>
  <c r="Y19" i="2" l="1"/>
  <c r="Y22" i="2" s="1"/>
  <c r="B14" i="1"/>
  <c r="D17" i="1"/>
  <c r="C17" i="1"/>
  <c r="D14" i="1" l="1"/>
  <c r="D19" i="1" s="1"/>
  <c r="C14" i="1"/>
  <c r="C19" i="1" s="1"/>
  <c r="B19" i="1"/>
</calcChain>
</file>

<file path=xl/comments1.xml><?xml version="1.0" encoding="utf-8"?>
<comments xmlns="http://schemas.openxmlformats.org/spreadsheetml/2006/main">
  <authors>
    <author xml:space="preserve">Simard, Andréanne </author>
  </authors>
  <commentList>
    <comment ref="I9" authorId="0" shapeId="0">
      <text>
        <r>
          <rPr>
            <b/>
            <sz val="9"/>
            <color indexed="81"/>
            <rFont val="Tahoma"/>
            <family val="2"/>
          </rPr>
          <t>Simard, Andréanne :</t>
        </r>
        <r>
          <rPr>
            <sz val="9"/>
            <color indexed="81"/>
            <rFont val="Tahoma"/>
            <family val="2"/>
          </rPr>
          <t xml:space="preserve">
Tribune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>Simard, Andréanne :</t>
        </r>
        <r>
          <rPr>
            <sz val="9"/>
            <color indexed="81"/>
            <rFont val="Tahoma"/>
            <family val="2"/>
          </rPr>
          <t xml:space="preserve">
Tribune</t>
        </r>
      </text>
    </comment>
    <comment ref="S12" authorId="0" shapeId="0">
      <text>
        <r>
          <rPr>
            <b/>
            <sz val="9"/>
            <color indexed="81"/>
            <rFont val="Tahoma"/>
            <family val="2"/>
          </rPr>
          <t>Simard, Andréanne :</t>
        </r>
        <r>
          <rPr>
            <sz val="9"/>
            <color indexed="81"/>
            <rFont val="Tahoma"/>
            <family val="2"/>
          </rPr>
          <t xml:space="preserve">
Sol imprimé au Quotidien</t>
        </r>
      </text>
    </comment>
  </commentList>
</comments>
</file>

<file path=xl/sharedStrings.xml><?xml version="1.0" encoding="utf-8"?>
<sst xmlns="http://schemas.openxmlformats.org/spreadsheetml/2006/main" count="142" uniqueCount="73">
  <si>
    <t>Déclaration du tonnage à recycle médias</t>
  </si>
  <si>
    <t>Année 2017</t>
  </si>
  <si>
    <t>Taux 2018</t>
  </si>
  <si>
    <t>Entité</t>
  </si>
  <si>
    <t>Tonnage</t>
  </si>
  <si>
    <t>Montant en argent</t>
  </si>
  <si>
    <t>Montant en placement publicitaire</t>
  </si>
  <si>
    <t>Soleil</t>
  </si>
  <si>
    <t>Quotidien</t>
  </si>
  <si>
    <t>Droit</t>
  </si>
  <si>
    <t>Nouvelliste</t>
  </si>
  <si>
    <t>Tribune</t>
  </si>
  <si>
    <t>Voix de l'Est</t>
  </si>
  <si>
    <t>ldr_entity_id</t>
  </si>
  <si>
    <t>section</t>
  </si>
  <si>
    <t>acct_descp_1</t>
  </si>
  <si>
    <t>compte</t>
  </si>
  <si>
    <t>acct_descp_2</t>
  </si>
  <si>
    <t>processing_yr</t>
  </si>
  <si>
    <t>amt_class_type</t>
  </si>
  <si>
    <t>ldr_amt_1</t>
  </si>
  <si>
    <t>ldr_amt_2</t>
  </si>
  <si>
    <t>ldr_amt_3</t>
  </si>
  <si>
    <t>ldr_amt_4</t>
  </si>
  <si>
    <t>ldr_amt_5</t>
  </si>
  <si>
    <t>ldr_amt_6</t>
  </si>
  <si>
    <t>ldr_amt_7</t>
  </si>
  <si>
    <t>ldr_amt_8</t>
  </si>
  <si>
    <t>ldr_amt_9</t>
  </si>
  <si>
    <t>ldr_amt_10</t>
  </si>
  <si>
    <t>ldr_amt_11</t>
  </si>
  <si>
    <t>ldr_amt_12</t>
  </si>
  <si>
    <t>Cum12</t>
  </si>
  <si>
    <t>Total</t>
  </si>
  <si>
    <t>Gâche 5,5 % sur journal</t>
  </si>
  <si>
    <t>Gâche 15 % sur Cahiers</t>
  </si>
  <si>
    <t xml:space="preserve">QUOT </t>
  </si>
  <si>
    <t>6693</t>
  </si>
  <si>
    <t xml:space="preserve">Journal                            </t>
  </si>
  <si>
    <t>6180</t>
  </si>
  <si>
    <t xml:space="preserve">Papier                             </t>
  </si>
  <si>
    <t xml:space="preserve">RÉELSTAT  </t>
  </si>
  <si>
    <t>6696</t>
  </si>
  <si>
    <t xml:space="preserve">Journal/Hebdos                     </t>
  </si>
  <si>
    <t>6697</t>
  </si>
  <si>
    <t xml:space="preserve">Cahiers achetés/Télé-Horaire       </t>
  </si>
  <si>
    <t>Déclaré au QUOT pour l'ensemble des journaux</t>
  </si>
  <si>
    <t>6695</t>
  </si>
  <si>
    <t xml:space="preserve">Cahiers/Non ROP                    </t>
  </si>
  <si>
    <t>6188</t>
  </si>
  <si>
    <t xml:space="preserve">Papier/Autres                      </t>
  </si>
  <si>
    <t xml:space="preserve">TRIB </t>
  </si>
  <si>
    <t>6638</t>
  </si>
  <si>
    <t xml:space="preserve">Impression/Interco                 </t>
  </si>
  <si>
    <t>Imprimé au QUOT, déclaré dans TRIB</t>
  </si>
  <si>
    <t>SOL</t>
  </si>
  <si>
    <t>Imprimé au QUOT, déclaré dans SOL</t>
  </si>
  <si>
    <t xml:space="preserve">VDE  </t>
  </si>
  <si>
    <t>6698</t>
  </si>
  <si>
    <t xml:space="preserve">Hebdo/Production                   </t>
  </si>
  <si>
    <t>Imprimé par Transcontinental (voir ci-dessous)</t>
  </si>
  <si>
    <t>Tonnage 2015</t>
  </si>
  <si>
    <t>Tonnage 2016</t>
  </si>
  <si>
    <t>Tonnage 2017</t>
  </si>
  <si>
    <t>Grand total</t>
  </si>
  <si>
    <t>Tonnage confirmé par Transcontinental (gâche déjà enlevé)</t>
  </si>
  <si>
    <t>Usines journaux (Qualimax, QC, Transmag)</t>
  </si>
  <si>
    <t>Enlevé publié en Ontario (23,519%)</t>
  </si>
  <si>
    <t>DROIT</t>
  </si>
  <si>
    <t>Papiers news</t>
  </si>
  <si>
    <t>Papiers blanc</t>
  </si>
  <si>
    <t>NOUV</t>
  </si>
  <si>
    <t>VDE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</si>
</sst>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)\ _$_ ;_ * \(#,##0.00\)\ _$_ ;_ * &quot;-&quot;??_)\ _$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0" fillId="0" borderId="3" xfId="1" applyFont="1" applyBorder="1"/>
    <xf numFmtId="43" fontId="0" fillId="0" borderId="4" xfId="1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/>
    <xf numFmtId="43" fontId="0" fillId="0" borderId="8" xfId="0" applyNumberFormat="1" applyBorder="1"/>
    <xf numFmtId="0" fontId="0" fillId="0" borderId="5" xfId="0" applyBorder="1"/>
    <xf numFmtId="43" fontId="0" fillId="0" borderId="6" xfId="0" applyNumberFormat="1" applyBorder="1"/>
    <xf numFmtId="43" fontId="0" fillId="0" borderId="5" xfId="0" applyNumberFormat="1" applyBorder="1"/>
    <xf numFmtId="43" fontId="0" fillId="0" borderId="7" xfId="0" applyNumberFormat="1" applyBorder="1"/>
    <xf numFmtId="0" fontId="3" fillId="2" borderId="9" xfId="2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/>
    </xf>
    <xf numFmtId="43" fontId="3" fillId="2" borderId="10" xfId="1" applyFont="1" applyFill="1" applyBorder="1" applyAlignment="1">
      <alignment horizontal="center"/>
    </xf>
    <xf numFmtId="43" fontId="3" fillId="2" borderId="11" xfId="1" applyFont="1" applyFill="1" applyBorder="1" applyAlignment="1">
      <alignment horizontal="center"/>
    </xf>
    <xf numFmtId="43" fontId="3" fillId="2" borderId="12" xfId="1" applyFont="1" applyFill="1" applyBorder="1" applyAlignment="1">
      <alignment horizontal="center"/>
    </xf>
    <xf numFmtId="0" fontId="3" fillId="0" borderId="13" xfId="2" applyFont="1" applyFill="1" applyBorder="1" applyAlignment="1">
      <alignment wrapText="1"/>
    </xf>
    <xf numFmtId="0" fontId="3" fillId="0" borderId="13" xfId="2" applyFont="1" applyFill="1" applyBorder="1" applyAlignment="1">
      <alignment horizontal="right" wrapText="1"/>
    </xf>
    <xf numFmtId="43" fontId="3" fillId="0" borderId="13" xfId="1" applyFont="1" applyFill="1" applyBorder="1" applyAlignment="1">
      <alignment horizontal="right" wrapText="1"/>
    </xf>
    <xf numFmtId="43" fontId="0" fillId="0" borderId="0" xfId="1" applyFont="1"/>
    <xf numFmtId="0" fontId="0" fillId="0" borderId="0" xfId="0" applyFill="1"/>
    <xf numFmtId="0" fontId="3" fillId="3" borderId="13" xfId="2" applyFont="1" applyFill="1" applyBorder="1" applyAlignment="1">
      <alignment wrapText="1"/>
    </xf>
    <xf numFmtId="0" fontId="3" fillId="3" borderId="13" xfId="2" applyFont="1" applyFill="1" applyBorder="1" applyAlignment="1">
      <alignment horizontal="right" wrapText="1"/>
    </xf>
    <xf numFmtId="43" fontId="3" fillId="3" borderId="13" xfId="1" applyFont="1" applyFill="1" applyBorder="1" applyAlignment="1">
      <alignment horizontal="right" wrapText="1"/>
    </xf>
    <xf numFmtId="43" fontId="0" fillId="3" borderId="0" xfId="1" applyFont="1" applyFill="1"/>
    <xf numFmtId="43" fontId="0" fillId="3" borderId="8" xfId="0" applyNumberFormat="1" applyFill="1" applyBorder="1"/>
    <xf numFmtId="0" fontId="0" fillId="3" borderId="0" xfId="0" applyFill="1"/>
    <xf numFmtId="0" fontId="4" fillId="4" borderId="13" xfId="2" applyFont="1" applyFill="1" applyBorder="1" applyAlignment="1">
      <alignment wrapText="1"/>
    </xf>
    <xf numFmtId="0" fontId="3" fillId="4" borderId="13" xfId="2" applyFont="1" applyFill="1" applyBorder="1" applyAlignment="1">
      <alignment wrapText="1"/>
    </xf>
    <xf numFmtId="0" fontId="3" fillId="4" borderId="13" xfId="2" applyFont="1" applyFill="1" applyBorder="1" applyAlignment="1">
      <alignment horizontal="right" wrapText="1"/>
    </xf>
    <xf numFmtId="43" fontId="3" fillId="4" borderId="13" xfId="1" applyFont="1" applyFill="1" applyBorder="1" applyAlignment="1">
      <alignment horizontal="right" wrapText="1"/>
    </xf>
    <xf numFmtId="43" fontId="0" fillId="4" borderId="0" xfId="1" applyFont="1" applyFill="1"/>
    <xf numFmtId="43" fontId="0" fillId="4" borderId="8" xfId="0" applyNumberFormat="1" applyFill="1" applyBorder="1"/>
    <xf numFmtId="0" fontId="0" fillId="4" borderId="0" xfId="0" applyFill="1"/>
    <xf numFmtId="0" fontId="0" fillId="0" borderId="8" xfId="0" applyBorder="1"/>
    <xf numFmtId="43" fontId="0" fillId="5" borderId="0" xfId="1" applyFont="1" applyFill="1"/>
    <xf numFmtId="43" fontId="0" fillId="5" borderId="17" xfId="0" applyNumberForma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wrapText="1"/>
    </xf>
    <xf numFmtId="43" fontId="0" fillId="0" borderId="0" xfId="1" applyFont="1" applyBorder="1"/>
    <xf numFmtId="43" fontId="0" fillId="0" borderId="18" xfId="1" applyFont="1" applyBorder="1"/>
    <xf numFmtId="43" fontId="0" fillId="6" borderId="0" xfId="1" applyFont="1" applyFill="1" applyBorder="1"/>
    <xf numFmtId="43" fontId="0" fillId="6" borderId="0" xfId="1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43" fontId="3" fillId="5" borderId="14" xfId="1" applyFont="1" applyFill="1" applyBorder="1" applyAlignment="1">
      <alignment horizontal="center" wrapText="1"/>
    </xf>
    <xf numFmtId="43" fontId="3" fillId="5" borderId="15" xfId="1" applyFont="1" applyFill="1" applyBorder="1" applyAlignment="1">
      <alignment horizontal="center" wrapText="1"/>
    </xf>
    <xf numFmtId="43" fontId="3" fillId="5" borderId="16" xfId="1" applyFont="1" applyFill="1" applyBorder="1" applyAlignment="1">
      <alignment horizontal="center" wrapText="1"/>
    </xf>
  </cellXfs>
  <cellStyles count="3">
    <cellStyle name="Milliers" xfId="1" builtinId="3"/>
    <cellStyle name="Normal" xfId="0" builtinId="0"/>
    <cellStyle name="Normal_Feui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9030</xdr:colOff>
      <xdr:row>3</xdr:row>
      <xdr:rowOff>171450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8070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9"/>
  <sheetViews>
    <sheetView tabSelected="1" workbookViewId="0">
      <selection activeCell="G12" sqref="G12"/>
    </sheetView>
  </sheetViews>
  <sheetFormatPr baseColWidth="10" defaultRowHeight="15" x14ac:dyDescent="0.25"/>
  <cols>
    <col min="1" max="1" width="14.5703125" customWidth="1"/>
    <col min="2" max="2" width="15" customWidth="1"/>
    <col min="3" max="3" width="15.42578125" customWidth="1"/>
    <col min="4" max="4" width="15.28515625" customWidth="1"/>
  </cols>
  <sheetData>
    <row r="6" spans="1:4" x14ac:dyDescent="0.25">
      <c r="A6" t="s">
        <v>0</v>
      </c>
    </row>
    <row r="7" spans="1:4" x14ac:dyDescent="0.25">
      <c r="A7" t="s">
        <v>1</v>
      </c>
    </row>
    <row r="8" spans="1:4" ht="9.75" customHeight="1" x14ac:dyDescent="0.25"/>
    <row r="9" spans="1:4" ht="9" customHeight="1" thickBot="1" x14ac:dyDescent="0.3"/>
    <row r="10" spans="1:4" x14ac:dyDescent="0.25">
      <c r="C10" s="46" t="s">
        <v>2</v>
      </c>
      <c r="D10" s="47"/>
    </row>
    <row r="11" spans="1:4" ht="15.75" thickBot="1" x14ac:dyDescent="0.3">
      <c r="C11" s="1">
        <v>74.06</v>
      </c>
      <c r="D11" s="2">
        <v>66.75</v>
      </c>
    </row>
    <row r="12" spans="1:4" ht="45.75" customHeight="1" thickBot="1" x14ac:dyDescent="0.3">
      <c r="A12" s="3" t="s">
        <v>3</v>
      </c>
      <c r="B12" s="4" t="s">
        <v>4</v>
      </c>
      <c r="C12" s="5" t="s">
        <v>5</v>
      </c>
      <c r="D12" s="6" t="s">
        <v>6</v>
      </c>
    </row>
    <row r="13" spans="1:4" x14ac:dyDescent="0.25">
      <c r="A13" s="7" t="s">
        <v>7</v>
      </c>
      <c r="B13" s="8">
        <f>Tonnes!Y12+Tonnes!C39</f>
        <v>3018.69985</v>
      </c>
      <c r="C13" s="1">
        <f>B13*$C$11</f>
        <v>223564.91089100001</v>
      </c>
      <c r="D13" s="2">
        <f>B13*$D$11</f>
        <v>201498.21498749999</v>
      </c>
    </row>
    <row r="14" spans="1:4" x14ac:dyDescent="0.25">
      <c r="A14" s="7" t="s">
        <v>8</v>
      </c>
      <c r="B14" s="8">
        <f>Tonnes!Y5</f>
        <v>954.34195000000011</v>
      </c>
      <c r="C14" s="1">
        <f t="shared" ref="C14:C18" si="0">B14*$C$11</f>
        <v>70678.564817000006</v>
      </c>
      <c r="D14" s="2">
        <f t="shared" ref="D14:D18" si="1">B14*$D$11</f>
        <v>63702.325162500005</v>
      </c>
    </row>
    <row r="15" spans="1:4" x14ac:dyDescent="0.25">
      <c r="A15" s="7" t="s">
        <v>9</v>
      </c>
      <c r="B15" s="8">
        <f>Tonnes!D28</f>
        <v>559.84397923999995</v>
      </c>
      <c r="C15" s="1">
        <f t="shared" si="0"/>
        <v>41462.045102514399</v>
      </c>
      <c r="D15" s="2">
        <f t="shared" si="1"/>
        <v>37369.585614269999</v>
      </c>
    </row>
    <row r="16" spans="1:4" x14ac:dyDescent="0.25">
      <c r="A16" s="7" t="s">
        <v>10</v>
      </c>
      <c r="B16" s="8">
        <f>Tonnes!C32</f>
        <v>709.404</v>
      </c>
      <c r="C16" s="1">
        <f t="shared" si="0"/>
        <v>52538.46024</v>
      </c>
      <c r="D16" s="2">
        <f t="shared" si="1"/>
        <v>47352.716999999997</v>
      </c>
    </row>
    <row r="17" spans="1:4" x14ac:dyDescent="0.25">
      <c r="A17" s="7" t="s">
        <v>11</v>
      </c>
      <c r="B17" s="8">
        <f>Tonnes!Y10</f>
        <v>801.38125000000002</v>
      </c>
      <c r="C17" s="1">
        <f t="shared" si="0"/>
        <v>59350.295375000002</v>
      </c>
      <c r="D17" s="2">
        <f t="shared" si="1"/>
        <v>53492.198437500003</v>
      </c>
    </row>
    <row r="18" spans="1:4" ht="15.75" thickBot="1" x14ac:dyDescent="0.3">
      <c r="A18" s="7" t="s">
        <v>12</v>
      </c>
      <c r="B18" s="8">
        <f>Tonnes!Y17+Tonnes!C34</f>
        <v>531.57860000000005</v>
      </c>
      <c r="C18" s="1">
        <f t="shared" si="0"/>
        <v>39368.711116000006</v>
      </c>
      <c r="D18" s="2">
        <f t="shared" si="1"/>
        <v>35482.871550000003</v>
      </c>
    </row>
    <row r="19" spans="1:4" ht="15.75" thickBot="1" x14ac:dyDescent="0.3">
      <c r="A19" s="9"/>
      <c r="B19" s="10">
        <f>SUM(B13:B18)</f>
        <v>6575.2496292400001</v>
      </c>
      <c r="C19" s="11">
        <f>SUM(C13:C18)</f>
        <v>486962.98754151439</v>
      </c>
      <c r="D19" s="12">
        <f>SUM(D13:D18)</f>
        <v>438897.91275177</v>
      </c>
    </row>
  </sheetData>
  <mergeCells count="1"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1"/>
  <sheetViews>
    <sheetView topLeftCell="M1" workbookViewId="0">
      <selection activeCell="U8" sqref="U8"/>
    </sheetView>
  </sheetViews>
  <sheetFormatPr baseColWidth="10" defaultRowHeight="15" x14ac:dyDescent="0.25"/>
  <cols>
    <col min="1" max="1" width="12.42578125" bestFit="1" customWidth="1"/>
    <col min="2" max="2" width="12.7109375" bestFit="1" customWidth="1"/>
    <col min="3" max="3" width="39.140625" bestFit="1" customWidth="1"/>
    <col min="4" max="4" width="25.85546875" bestFit="1" customWidth="1"/>
    <col min="5" max="5" width="24.5703125" bestFit="1" customWidth="1"/>
    <col min="7" max="7" width="19.140625" bestFit="1" customWidth="1"/>
    <col min="8" max="16" width="15.28515625" style="21" bestFit="1" customWidth="1"/>
    <col min="17" max="19" width="16.28515625" style="21" bestFit="1" customWidth="1"/>
    <col min="20" max="20" width="12.42578125" style="21" bestFit="1" customWidth="1"/>
    <col min="21" max="21" width="12.42578125" style="21" customWidth="1"/>
    <col min="22" max="22" width="12.42578125" bestFit="1" customWidth="1"/>
    <col min="23" max="23" width="22.42578125" bestFit="1" customWidth="1"/>
    <col min="24" max="24" width="22.140625" bestFit="1" customWidth="1"/>
    <col min="25" max="25" width="13" bestFit="1" customWidth="1"/>
  </cols>
  <sheetData>
    <row r="1" spans="1:26" x14ac:dyDescent="0.25">
      <c r="A1" s="13" t="s">
        <v>13</v>
      </c>
      <c r="B1" s="13" t="s">
        <v>14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4" t="s">
        <v>20</v>
      </c>
      <c r="I1" s="14" t="s">
        <v>21</v>
      </c>
      <c r="J1" s="14" t="s">
        <v>22</v>
      </c>
      <c r="K1" s="14" t="s">
        <v>23</v>
      </c>
      <c r="L1" s="14" t="s">
        <v>24</v>
      </c>
      <c r="M1" s="14" t="s">
        <v>25</v>
      </c>
      <c r="N1" s="14" t="s">
        <v>26</v>
      </c>
      <c r="O1" s="14" t="s">
        <v>27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3" t="s">
        <v>13</v>
      </c>
      <c r="W1" s="15" t="s">
        <v>34</v>
      </c>
      <c r="X1" s="16" t="s">
        <v>35</v>
      </c>
      <c r="Y1" s="17" t="s">
        <v>33</v>
      </c>
    </row>
    <row r="2" spans="1:26" s="22" customFormat="1" x14ac:dyDescent="0.25">
      <c r="A2" s="18" t="s">
        <v>36</v>
      </c>
      <c r="B2" s="18" t="s">
        <v>37</v>
      </c>
      <c r="C2" s="18" t="s">
        <v>38</v>
      </c>
      <c r="D2" s="18" t="s">
        <v>39</v>
      </c>
      <c r="E2" s="18" t="s">
        <v>40</v>
      </c>
      <c r="F2" s="19">
        <v>2017</v>
      </c>
      <c r="G2" s="18" t="s">
        <v>41</v>
      </c>
      <c r="H2" s="20">
        <v>56.79</v>
      </c>
      <c r="I2" s="20">
        <v>47.83</v>
      </c>
      <c r="J2" s="20">
        <v>46.47</v>
      </c>
      <c r="K2" s="20">
        <v>132.91</v>
      </c>
      <c r="L2" s="20">
        <v>70.760000000000005</v>
      </c>
      <c r="M2" s="20">
        <v>65.819999999999993</v>
      </c>
      <c r="N2" s="20">
        <v>77.14</v>
      </c>
      <c r="O2" s="20">
        <v>62.27</v>
      </c>
      <c r="P2" s="20">
        <v>67.180000000000007</v>
      </c>
      <c r="Q2" s="20">
        <v>88.36</v>
      </c>
      <c r="R2" s="20">
        <v>100.09</v>
      </c>
      <c r="S2" s="20">
        <v>60.63</v>
      </c>
      <c r="T2" s="20">
        <f t="shared" ref="T2:T6" si="0">SUM(H2:S2)</f>
        <v>876.25000000000011</v>
      </c>
      <c r="U2" s="20"/>
      <c r="V2" s="18"/>
      <c r="W2" s="21"/>
      <c r="X2" s="21"/>
      <c r="Y2" s="8"/>
    </row>
    <row r="3" spans="1:26" s="22" customFormat="1" x14ac:dyDescent="0.25">
      <c r="A3" s="18" t="s">
        <v>36</v>
      </c>
      <c r="B3" s="18" t="s">
        <v>42</v>
      </c>
      <c r="C3" s="18" t="s">
        <v>43</v>
      </c>
      <c r="D3" s="18" t="s">
        <v>39</v>
      </c>
      <c r="E3" s="18" t="s">
        <v>40</v>
      </c>
      <c r="F3" s="19">
        <v>2017</v>
      </c>
      <c r="G3" s="18" t="s">
        <v>41</v>
      </c>
      <c r="H3" s="20">
        <v>25.98</v>
      </c>
      <c r="I3" s="20">
        <v>21.99</v>
      </c>
      <c r="J3" s="20">
        <v>21.88</v>
      </c>
      <c r="K3" s="20">
        <v>4.57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  <c r="R3" s="20">
        <v>0</v>
      </c>
      <c r="S3" s="20">
        <v>0</v>
      </c>
      <c r="T3" s="20">
        <f t="shared" si="0"/>
        <v>74.419999999999987</v>
      </c>
      <c r="U3" s="20"/>
      <c r="V3" s="18"/>
      <c r="W3" s="21"/>
      <c r="X3" s="21"/>
      <c r="Y3" s="8"/>
    </row>
    <row r="4" spans="1:26" s="28" customFormat="1" x14ac:dyDescent="0.25">
      <c r="A4" s="23" t="s">
        <v>36</v>
      </c>
      <c r="B4" s="23" t="s">
        <v>44</v>
      </c>
      <c r="C4" s="23" t="s">
        <v>45</v>
      </c>
      <c r="D4" s="23" t="s">
        <v>39</v>
      </c>
      <c r="E4" s="23" t="s">
        <v>40</v>
      </c>
      <c r="F4" s="24">
        <v>2017</v>
      </c>
      <c r="G4" s="23" t="s">
        <v>41</v>
      </c>
      <c r="H4" s="25">
        <v>3.82</v>
      </c>
      <c r="I4" s="25">
        <v>3.02</v>
      </c>
      <c r="J4" s="25">
        <v>2.89</v>
      </c>
      <c r="K4" s="25">
        <v>3.68</v>
      </c>
      <c r="L4" s="25">
        <v>3.01</v>
      </c>
      <c r="M4" s="25">
        <v>2.88</v>
      </c>
      <c r="N4" s="25">
        <v>3.75</v>
      </c>
      <c r="O4" s="25">
        <v>2.9</v>
      </c>
      <c r="P4" s="25">
        <v>2.78</v>
      </c>
      <c r="Q4" s="25">
        <v>3.64</v>
      </c>
      <c r="R4" s="25">
        <v>2.99</v>
      </c>
      <c r="S4" s="25">
        <v>2.88</v>
      </c>
      <c r="T4" s="25">
        <f t="shared" si="0"/>
        <v>38.24</v>
      </c>
      <c r="U4" s="25"/>
      <c r="V4" s="23"/>
      <c r="W4" s="26"/>
      <c r="X4" s="26"/>
      <c r="Y4" s="27"/>
      <c r="Z4" s="28" t="s">
        <v>46</v>
      </c>
    </row>
    <row r="5" spans="1:26" x14ac:dyDescent="0.25">
      <c r="A5" s="18" t="s">
        <v>36</v>
      </c>
      <c r="B5" s="18" t="s">
        <v>47</v>
      </c>
      <c r="C5" s="18" t="s">
        <v>48</v>
      </c>
      <c r="D5" s="18" t="s">
        <v>49</v>
      </c>
      <c r="E5" s="18" t="s">
        <v>50</v>
      </c>
      <c r="F5" s="19">
        <v>2017</v>
      </c>
      <c r="G5" s="18" t="s">
        <v>41</v>
      </c>
      <c r="H5" s="20">
        <v>2.88</v>
      </c>
      <c r="I5" s="20">
        <v>4.7699999999999996</v>
      </c>
      <c r="J5" s="20">
        <v>0</v>
      </c>
      <c r="K5" s="20">
        <v>2.06</v>
      </c>
      <c r="L5" s="20">
        <v>0</v>
      </c>
      <c r="M5" s="20">
        <v>3.47</v>
      </c>
      <c r="N5" s="20">
        <v>0.62</v>
      </c>
      <c r="O5" s="20">
        <v>0.59</v>
      </c>
      <c r="P5" s="20">
        <v>5.15</v>
      </c>
      <c r="Q5" s="20">
        <v>1.07</v>
      </c>
      <c r="R5" s="20">
        <v>1.22</v>
      </c>
      <c r="S5" s="20">
        <v>1.49</v>
      </c>
      <c r="T5" s="20">
        <f t="shared" si="0"/>
        <v>23.319999999999997</v>
      </c>
      <c r="U5" s="20">
        <f>SUM(T2:T5)</f>
        <v>1012.2300000000001</v>
      </c>
      <c r="V5" s="18" t="s">
        <v>36</v>
      </c>
      <c r="W5" s="21">
        <f>-(T2+T3+T4)*5.5%</f>
        <v>-54.390050000000002</v>
      </c>
      <c r="X5" s="21">
        <f>-(+T5)*15%</f>
        <v>-3.4979999999999993</v>
      </c>
      <c r="Y5" s="8">
        <f>U5+W5+X5</f>
        <v>954.34195000000011</v>
      </c>
    </row>
    <row r="6" spans="1:26" x14ac:dyDescent="0.25">
      <c r="A6" s="18"/>
      <c r="B6" s="18"/>
      <c r="C6" s="18"/>
      <c r="D6" s="18"/>
      <c r="E6" s="18"/>
      <c r="F6" s="19"/>
      <c r="G6" s="18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/>
      <c r="V6" s="18"/>
      <c r="W6" s="21"/>
      <c r="X6" s="21"/>
      <c r="Y6" s="8"/>
    </row>
    <row r="7" spans="1:26" x14ac:dyDescent="0.25">
      <c r="A7" s="18" t="s">
        <v>51</v>
      </c>
      <c r="B7" s="18" t="s">
        <v>37</v>
      </c>
      <c r="C7" s="18" t="s">
        <v>38</v>
      </c>
      <c r="D7" s="18" t="s">
        <v>39</v>
      </c>
      <c r="E7" s="18" t="s">
        <v>40</v>
      </c>
      <c r="F7" s="19">
        <v>2017</v>
      </c>
      <c r="G7" s="18" t="s">
        <v>41</v>
      </c>
      <c r="H7" s="20">
        <v>71.959999999999994</v>
      </c>
      <c r="I7" s="20">
        <v>63.01</v>
      </c>
      <c r="J7" s="20">
        <v>76.400000000000006</v>
      </c>
      <c r="K7" s="20">
        <v>85.62</v>
      </c>
      <c r="L7" s="20">
        <v>70.59</v>
      </c>
      <c r="M7" s="20">
        <v>57.21</v>
      </c>
      <c r="N7" s="20">
        <v>65.22</v>
      </c>
      <c r="O7" s="20">
        <v>52.62</v>
      </c>
      <c r="P7" s="20">
        <v>68.290000000000006</v>
      </c>
      <c r="Q7" s="20">
        <v>84.53</v>
      </c>
      <c r="R7" s="20">
        <v>62.55</v>
      </c>
      <c r="S7" s="20">
        <v>56.85</v>
      </c>
      <c r="T7" s="20">
        <f t="shared" ref="T7:T17" si="1">SUM(H7:S7)</f>
        <v>814.84999999999991</v>
      </c>
      <c r="U7" s="20"/>
      <c r="V7" s="18"/>
      <c r="W7" s="21"/>
      <c r="X7" s="21"/>
      <c r="Y7" s="8"/>
    </row>
    <row r="8" spans="1:26" x14ac:dyDescent="0.25">
      <c r="A8" s="18" t="s">
        <v>51</v>
      </c>
      <c r="B8" s="18" t="s">
        <v>47</v>
      </c>
      <c r="C8" s="18" t="s">
        <v>48</v>
      </c>
      <c r="D8" s="18" t="s">
        <v>39</v>
      </c>
      <c r="E8" s="18" t="s">
        <v>40</v>
      </c>
      <c r="F8" s="19">
        <v>2017</v>
      </c>
      <c r="G8" s="18" t="s">
        <v>41</v>
      </c>
      <c r="H8" s="20">
        <v>0</v>
      </c>
      <c r="I8" s="20">
        <v>0</v>
      </c>
      <c r="J8" s="20">
        <v>0</v>
      </c>
      <c r="K8" s="20">
        <v>3.96</v>
      </c>
      <c r="L8" s="20">
        <v>2.1</v>
      </c>
      <c r="M8" s="20">
        <v>1.91</v>
      </c>
      <c r="N8" s="20">
        <v>2.7</v>
      </c>
      <c r="O8" s="20">
        <v>1.99</v>
      </c>
      <c r="P8" s="20">
        <v>0.53</v>
      </c>
      <c r="Q8" s="20">
        <v>0</v>
      </c>
      <c r="R8" s="20">
        <v>2.35</v>
      </c>
      <c r="S8" s="20">
        <v>2.81</v>
      </c>
      <c r="T8" s="20">
        <f t="shared" si="1"/>
        <v>18.350000000000001</v>
      </c>
      <c r="U8" s="20"/>
      <c r="V8" s="18"/>
      <c r="W8" s="21"/>
      <c r="X8" s="21"/>
      <c r="Y8" s="8"/>
    </row>
    <row r="9" spans="1:26" s="35" customFormat="1" x14ac:dyDescent="0.25">
      <c r="A9" s="29" t="s">
        <v>51</v>
      </c>
      <c r="B9" s="30" t="s">
        <v>52</v>
      </c>
      <c r="C9" s="30" t="s">
        <v>53</v>
      </c>
      <c r="D9" s="30" t="s">
        <v>49</v>
      </c>
      <c r="E9" s="30" t="s">
        <v>50</v>
      </c>
      <c r="F9" s="31">
        <v>2017</v>
      </c>
      <c r="G9" s="30" t="s">
        <v>41</v>
      </c>
      <c r="H9" s="32">
        <v>0</v>
      </c>
      <c r="I9" s="32">
        <v>0.61</v>
      </c>
      <c r="J9" s="32"/>
      <c r="K9" s="32">
        <v>0</v>
      </c>
      <c r="L9" s="32"/>
      <c r="M9" s="32">
        <v>0</v>
      </c>
      <c r="N9" s="32">
        <v>0</v>
      </c>
      <c r="O9" s="32"/>
      <c r="P9" s="32">
        <v>0</v>
      </c>
      <c r="Q9" s="32">
        <v>0</v>
      </c>
      <c r="R9" s="32">
        <v>0.97</v>
      </c>
      <c r="S9" s="32"/>
      <c r="T9" s="32">
        <f>SUM(H9:S9)</f>
        <v>1.58</v>
      </c>
      <c r="U9" s="32"/>
      <c r="V9" s="30"/>
      <c r="W9" s="33"/>
      <c r="X9" s="33"/>
      <c r="Y9" s="34"/>
      <c r="Z9" s="35" t="s">
        <v>54</v>
      </c>
    </row>
    <row r="10" spans="1:26" x14ac:dyDescent="0.25">
      <c r="A10" s="18" t="s">
        <v>51</v>
      </c>
      <c r="B10" s="18" t="s">
        <v>47</v>
      </c>
      <c r="C10" s="18" t="s">
        <v>48</v>
      </c>
      <c r="D10" s="18" t="s">
        <v>49</v>
      </c>
      <c r="E10" s="18" t="s">
        <v>50</v>
      </c>
      <c r="F10" s="19">
        <v>2017</v>
      </c>
      <c r="G10" s="18" t="s">
        <v>41</v>
      </c>
      <c r="H10" s="20">
        <v>0</v>
      </c>
      <c r="I10" s="20">
        <v>0</v>
      </c>
      <c r="J10" s="20">
        <v>1.32</v>
      </c>
      <c r="K10" s="20">
        <v>1.19</v>
      </c>
      <c r="L10" s="20">
        <v>0.97</v>
      </c>
      <c r="M10" s="20">
        <v>2.48</v>
      </c>
      <c r="N10" s="20">
        <v>0</v>
      </c>
      <c r="O10" s="20">
        <v>0</v>
      </c>
      <c r="P10" s="20">
        <v>3.72</v>
      </c>
      <c r="Q10" s="20">
        <v>0</v>
      </c>
      <c r="R10" s="20">
        <v>3.33</v>
      </c>
      <c r="S10" s="20">
        <v>3.94</v>
      </c>
      <c r="T10" s="20">
        <f t="shared" si="1"/>
        <v>16.95</v>
      </c>
      <c r="U10" s="20">
        <f>SUM(T7:T10)</f>
        <v>851.73</v>
      </c>
      <c r="V10" s="18" t="s">
        <v>51</v>
      </c>
      <c r="W10" s="21">
        <f>-T7*5.5%</f>
        <v>-44.816749999999992</v>
      </c>
      <c r="X10" s="21">
        <f>-(T8+T10+T9)*15%</f>
        <v>-5.5319999999999991</v>
      </c>
      <c r="Y10" s="8">
        <f>U10+W10+X10</f>
        <v>801.38125000000002</v>
      </c>
    </row>
    <row r="11" spans="1:26" x14ac:dyDescent="0.25">
      <c r="A11" s="18"/>
      <c r="B11" s="18"/>
      <c r="C11" s="18"/>
      <c r="D11" s="18"/>
      <c r="E11" s="18"/>
      <c r="F11" s="19"/>
      <c r="G11" s="1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>
        <f t="shared" si="1"/>
        <v>0</v>
      </c>
      <c r="U11" s="20"/>
      <c r="V11" s="18"/>
      <c r="W11" s="21"/>
      <c r="X11" s="21"/>
      <c r="Y11" s="8"/>
    </row>
    <row r="12" spans="1:26" s="35" customFormat="1" x14ac:dyDescent="0.25">
      <c r="A12" s="29" t="s">
        <v>55</v>
      </c>
      <c r="B12" s="30" t="s">
        <v>52</v>
      </c>
      <c r="C12" s="30" t="s">
        <v>53</v>
      </c>
      <c r="D12" s="30" t="s">
        <v>49</v>
      </c>
      <c r="E12" s="30" t="s">
        <v>50</v>
      </c>
      <c r="F12" s="31">
        <v>2017</v>
      </c>
      <c r="G12" s="30" t="s">
        <v>41</v>
      </c>
      <c r="H12" s="32">
        <v>0</v>
      </c>
      <c r="I12" s="32">
        <v>0</v>
      </c>
      <c r="J12" s="32"/>
      <c r="K12" s="32">
        <v>0</v>
      </c>
      <c r="L12" s="32"/>
      <c r="M12" s="32">
        <v>0</v>
      </c>
      <c r="N12" s="32">
        <v>0</v>
      </c>
      <c r="O12" s="32"/>
      <c r="P12" s="32">
        <v>0</v>
      </c>
      <c r="Q12" s="32">
        <v>0</v>
      </c>
      <c r="R12" s="32">
        <v>0</v>
      </c>
      <c r="S12" s="32">
        <v>1.421</v>
      </c>
      <c r="T12" s="32">
        <f>SUM(H12:S12)</f>
        <v>1.421</v>
      </c>
      <c r="U12" s="32">
        <f>SUM(T12)</f>
        <v>1.421</v>
      </c>
      <c r="V12" s="29" t="s">
        <v>55</v>
      </c>
      <c r="W12" s="33"/>
      <c r="X12" s="33">
        <f>-T12*0.15</f>
        <v>-0.21315000000000001</v>
      </c>
      <c r="Y12" s="34">
        <f>U12+X12</f>
        <v>1.2078500000000001</v>
      </c>
      <c r="Z12" s="35" t="s">
        <v>56</v>
      </c>
    </row>
    <row r="13" spans="1:26" x14ac:dyDescent="0.25">
      <c r="A13" s="18"/>
      <c r="B13" s="18"/>
      <c r="C13" s="18"/>
      <c r="D13" s="18"/>
      <c r="E13" s="18"/>
      <c r="F13" s="19"/>
      <c r="G13" s="18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18"/>
      <c r="W13" s="21"/>
      <c r="X13" s="21"/>
      <c r="Y13" s="8"/>
    </row>
    <row r="14" spans="1:26" x14ac:dyDescent="0.25">
      <c r="A14" s="18" t="s">
        <v>57</v>
      </c>
      <c r="B14" s="18" t="s">
        <v>37</v>
      </c>
      <c r="C14" s="18" t="s">
        <v>38</v>
      </c>
      <c r="D14" s="18" t="s">
        <v>39</v>
      </c>
      <c r="E14" s="18" t="s">
        <v>40</v>
      </c>
      <c r="F14" s="19">
        <v>2017</v>
      </c>
      <c r="G14" s="18" t="s">
        <v>41</v>
      </c>
      <c r="H14" s="20">
        <v>29.78</v>
      </c>
      <c r="I14" s="20">
        <v>27.61</v>
      </c>
      <c r="J14" s="20">
        <v>35.57</v>
      </c>
      <c r="K14" s="20">
        <v>46.44</v>
      </c>
      <c r="L14" s="20">
        <v>37.36</v>
      </c>
      <c r="M14" s="20">
        <v>26.49</v>
      </c>
      <c r="N14" s="20">
        <v>45.76</v>
      </c>
      <c r="O14" s="20">
        <v>22.29</v>
      </c>
      <c r="P14" s="20">
        <v>25.83</v>
      </c>
      <c r="Q14" s="20">
        <v>42.98</v>
      </c>
      <c r="R14" s="20">
        <v>39.58</v>
      </c>
      <c r="S14" s="20">
        <v>21.38</v>
      </c>
      <c r="T14" s="20">
        <f t="shared" si="1"/>
        <v>401.07</v>
      </c>
      <c r="U14" s="20"/>
      <c r="V14" s="18"/>
      <c r="W14" s="21"/>
      <c r="X14" s="21"/>
      <c r="Y14" s="8"/>
    </row>
    <row r="15" spans="1:26" x14ac:dyDescent="0.25">
      <c r="A15" s="18" t="s">
        <v>57</v>
      </c>
      <c r="B15" s="18" t="s">
        <v>47</v>
      </c>
      <c r="C15" s="18" t="s">
        <v>48</v>
      </c>
      <c r="D15" s="18" t="s">
        <v>39</v>
      </c>
      <c r="E15" s="18" t="s">
        <v>40</v>
      </c>
      <c r="F15" s="19">
        <v>2017</v>
      </c>
      <c r="G15" s="18" t="s">
        <v>41</v>
      </c>
      <c r="H15" s="20">
        <v>0</v>
      </c>
      <c r="I15" s="20">
        <v>0</v>
      </c>
      <c r="J15" s="20">
        <v>0</v>
      </c>
      <c r="K15" s="20">
        <v>2.04</v>
      </c>
      <c r="L15" s="20">
        <v>1.43</v>
      </c>
      <c r="M15" s="20">
        <v>1.46</v>
      </c>
      <c r="N15" s="20">
        <v>0</v>
      </c>
      <c r="O15" s="20">
        <v>0</v>
      </c>
      <c r="P15" s="20">
        <v>8.59</v>
      </c>
      <c r="Q15" s="20">
        <v>0</v>
      </c>
      <c r="R15" s="20">
        <v>0</v>
      </c>
      <c r="S15" s="20">
        <v>0</v>
      </c>
      <c r="T15" s="20">
        <f t="shared" si="1"/>
        <v>13.52</v>
      </c>
      <c r="U15" s="20"/>
      <c r="V15" s="18"/>
      <c r="W15" s="21"/>
      <c r="X15" s="21"/>
      <c r="Y15" s="8"/>
    </row>
    <row r="16" spans="1:26" x14ac:dyDescent="0.25">
      <c r="A16" s="18" t="s">
        <v>57</v>
      </c>
      <c r="B16" s="18" t="s">
        <v>58</v>
      </c>
      <c r="C16" s="18" t="s">
        <v>59</v>
      </c>
      <c r="D16" s="18" t="s">
        <v>39</v>
      </c>
      <c r="E16" s="18" t="s">
        <v>40</v>
      </c>
      <c r="F16" s="19">
        <v>2017</v>
      </c>
      <c r="G16" s="18" t="s">
        <v>41</v>
      </c>
      <c r="H16" s="48" t="s">
        <v>60</v>
      </c>
      <c r="I16" s="49"/>
      <c r="J16" s="49"/>
      <c r="K16" s="49"/>
      <c r="L16" s="49"/>
      <c r="M16" s="50"/>
      <c r="N16" s="20">
        <v>10.050000000000001</v>
      </c>
      <c r="O16" s="20">
        <v>10.92</v>
      </c>
      <c r="P16" s="20">
        <v>13.53</v>
      </c>
      <c r="Q16" s="20">
        <v>14.6</v>
      </c>
      <c r="R16" s="20">
        <v>11.47</v>
      </c>
      <c r="S16" s="20">
        <v>7.34</v>
      </c>
      <c r="T16" s="20">
        <f t="shared" si="1"/>
        <v>67.91</v>
      </c>
      <c r="U16" s="20"/>
      <c r="V16" s="18"/>
      <c r="W16" s="21"/>
      <c r="X16" s="21"/>
      <c r="Y16" s="8"/>
    </row>
    <row r="17" spans="1:25" x14ac:dyDescent="0.25">
      <c r="A17" s="18" t="s">
        <v>57</v>
      </c>
      <c r="B17" s="18" t="s">
        <v>47</v>
      </c>
      <c r="C17" s="18" t="s">
        <v>48</v>
      </c>
      <c r="D17" s="18" t="s">
        <v>49</v>
      </c>
      <c r="E17" s="18" t="s">
        <v>50</v>
      </c>
      <c r="F17" s="19">
        <v>2017</v>
      </c>
      <c r="G17" s="18" t="s">
        <v>41</v>
      </c>
      <c r="H17" s="20">
        <v>0</v>
      </c>
      <c r="I17" s="20">
        <v>0</v>
      </c>
      <c r="J17" s="20">
        <v>2.29</v>
      </c>
      <c r="K17" s="20">
        <v>3.59</v>
      </c>
      <c r="L17" s="20">
        <v>3.7</v>
      </c>
      <c r="M17" s="20">
        <v>0</v>
      </c>
      <c r="N17" s="20">
        <v>0</v>
      </c>
      <c r="O17" s="20">
        <v>1.62</v>
      </c>
      <c r="P17" s="20">
        <v>0.71</v>
      </c>
      <c r="Q17" s="20">
        <v>0</v>
      </c>
      <c r="R17" s="20">
        <v>4.5199999999999996</v>
      </c>
      <c r="S17" s="20">
        <v>0</v>
      </c>
      <c r="T17" s="20">
        <f t="shared" si="1"/>
        <v>16.43</v>
      </c>
      <c r="U17" s="20">
        <f>SUM(T14:T17)</f>
        <v>498.93</v>
      </c>
      <c r="V17" s="18" t="s">
        <v>57</v>
      </c>
      <c r="W17" s="21">
        <f>-(T14+T16)*5.5%</f>
        <v>-25.793900000000001</v>
      </c>
      <c r="X17" s="21">
        <f>-(T15+T17)*15%</f>
        <v>-4.4924999999999997</v>
      </c>
      <c r="Y17" s="8">
        <f>U17+W17+X17</f>
        <v>468.64359999999999</v>
      </c>
    </row>
    <row r="18" spans="1:25" x14ac:dyDescent="0.25">
      <c r="Y18" s="36"/>
    </row>
    <row r="19" spans="1:25" ht="15.75" thickBot="1" x14ac:dyDescent="0.3">
      <c r="U19" s="37">
        <f>SUM(U2:U17)</f>
        <v>2364.3110000000001</v>
      </c>
      <c r="V19" s="37"/>
      <c r="W19" s="37">
        <f>SUM(W2:W17)</f>
        <v>-125.00069999999999</v>
      </c>
      <c r="X19" s="37">
        <f>SUM(X2:X17)</f>
        <v>-13.735649999999998</v>
      </c>
      <c r="Y19" s="38">
        <f>SUM(Y2:Y17)</f>
        <v>2225.57465</v>
      </c>
    </row>
    <row r="21" spans="1:25" x14ac:dyDescent="0.25">
      <c r="W21" s="39" t="s">
        <v>61</v>
      </c>
      <c r="X21" s="39" t="s">
        <v>62</v>
      </c>
      <c r="Y21" s="39" t="s">
        <v>63</v>
      </c>
    </row>
    <row r="22" spans="1:25" x14ac:dyDescent="0.25">
      <c r="V22" t="s">
        <v>64</v>
      </c>
      <c r="W22" s="21">
        <v>8282</v>
      </c>
      <c r="X22" s="21">
        <v>7501.5</v>
      </c>
      <c r="Y22" s="21">
        <f>Y19+D28+C32+C34+C39</f>
        <v>6575.2496292400001</v>
      </c>
    </row>
    <row r="23" spans="1:25" x14ac:dyDescent="0.25">
      <c r="A23" t="s">
        <v>65</v>
      </c>
    </row>
    <row r="24" spans="1:25" x14ac:dyDescent="0.25">
      <c r="D24" s="40"/>
      <c r="E24" s="40"/>
    </row>
    <row r="25" spans="1:25" ht="30" x14ac:dyDescent="0.25">
      <c r="C25" t="s">
        <v>66</v>
      </c>
      <c r="D25" s="41" t="s">
        <v>67</v>
      </c>
      <c r="E25" s="40"/>
    </row>
    <row r="26" spans="1:25" x14ac:dyDescent="0.25">
      <c r="A26" t="s">
        <v>68</v>
      </c>
      <c r="B26" t="s">
        <v>69</v>
      </c>
      <c r="C26" s="21">
        <f>721.332+1.425</f>
        <v>722.75699999999995</v>
      </c>
      <c r="D26" s="42"/>
      <c r="E26" s="42"/>
    </row>
    <row r="27" spans="1:25" x14ac:dyDescent="0.25">
      <c r="B27" t="s">
        <v>70</v>
      </c>
      <c r="C27" s="43">
        <v>9.2469999999999999</v>
      </c>
      <c r="D27" s="42"/>
      <c r="E27" s="42"/>
    </row>
    <row r="28" spans="1:25" x14ac:dyDescent="0.25">
      <c r="C28" s="21">
        <f>SUM(C26:C27)</f>
        <v>732.00399999999991</v>
      </c>
      <c r="D28" s="44">
        <f>C28*(100%-23.519%)</f>
        <v>559.84397923999995</v>
      </c>
      <c r="E28" s="42"/>
    </row>
    <row r="29" spans="1:25" x14ac:dyDescent="0.25">
      <c r="C29" s="21"/>
      <c r="D29" s="42"/>
      <c r="E29" s="42"/>
    </row>
    <row r="30" spans="1:25" x14ac:dyDescent="0.25">
      <c r="A30" t="s">
        <v>71</v>
      </c>
      <c r="B30" t="s">
        <v>69</v>
      </c>
      <c r="C30" s="21">
        <f>5.66+703.687</f>
        <v>709.34699999999998</v>
      </c>
      <c r="D30" s="42"/>
      <c r="E30" s="42"/>
    </row>
    <row r="31" spans="1:25" x14ac:dyDescent="0.25">
      <c r="B31" t="s">
        <v>70</v>
      </c>
      <c r="C31" s="43">
        <v>5.7000000000000002E-2</v>
      </c>
      <c r="D31" s="42"/>
      <c r="E31" s="42"/>
    </row>
    <row r="32" spans="1:25" x14ac:dyDescent="0.25">
      <c r="C32" s="45">
        <f>SUM(C30:C31)</f>
        <v>709.404</v>
      </c>
      <c r="D32" s="42"/>
      <c r="E32" s="42"/>
    </row>
    <row r="33" spans="1:5" x14ac:dyDescent="0.25">
      <c r="C33" s="21"/>
      <c r="D33" s="42"/>
      <c r="E33" s="42"/>
    </row>
    <row r="34" spans="1:5" x14ac:dyDescent="0.25">
      <c r="A34" t="s">
        <v>72</v>
      </c>
      <c r="B34" t="s">
        <v>69</v>
      </c>
      <c r="C34" s="45">
        <v>62.935000000000002</v>
      </c>
      <c r="D34" s="42"/>
      <c r="E34" s="42"/>
    </row>
    <row r="35" spans="1:5" x14ac:dyDescent="0.25">
      <c r="C35" s="21"/>
      <c r="D35" s="42"/>
      <c r="E35" s="42"/>
    </row>
    <row r="36" spans="1:5" x14ac:dyDescent="0.25">
      <c r="C36" s="21"/>
      <c r="D36" s="42"/>
      <c r="E36" s="42"/>
    </row>
    <row r="37" spans="1:5" x14ac:dyDescent="0.25">
      <c r="A37" t="s">
        <v>55</v>
      </c>
      <c r="B37" t="s">
        <v>69</v>
      </c>
      <c r="C37" s="21">
        <f>2923.561+80.712</f>
        <v>3004.2730000000001</v>
      </c>
      <c r="D37" s="42"/>
      <c r="E37" s="42"/>
    </row>
    <row r="38" spans="1:5" x14ac:dyDescent="0.25">
      <c r="B38" t="s">
        <v>70</v>
      </c>
      <c r="C38" s="43">
        <v>13.218999999999999</v>
      </c>
      <c r="D38" s="42"/>
      <c r="E38" s="42"/>
    </row>
    <row r="39" spans="1:5" x14ac:dyDescent="0.25">
      <c r="C39" s="45">
        <f>SUM(C37:C38)</f>
        <v>3017.4920000000002</v>
      </c>
      <c r="D39" s="42"/>
      <c r="E39" s="42"/>
    </row>
    <row r="40" spans="1:5" x14ac:dyDescent="0.25">
      <c r="C40" s="21"/>
      <c r="D40" s="42"/>
      <c r="E40" s="42"/>
    </row>
    <row r="41" spans="1:5" x14ac:dyDescent="0.25">
      <c r="C41" s="21"/>
      <c r="D41" s="21"/>
      <c r="E41" s="21"/>
    </row>
  </sheetData>
  <autoFilter ref="A1:T1">
    <sortState ref="A2:U22">
      <sortCondition ref="D1"/>
    </sortState>
  </autoFilter>
  <mergeCells count="1">
    <mergeCell ref="H16:M1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Sommaire</vt:lpstr>
      <vt:lpstr>Tonnes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Simard, Andréanne</dc:creator>
  <cp:lastModifiedBy>Simard, Andréanne </cp:lastModifiedBy>
  <dcterms:created xsi:type="dcterms:W3CDTF">2018-03-29T12:59:45Z</dcterms:created>
  <dcterms:modified xsi:type="dcterms:W3CDTF">2018-03-29T14:21:01Z</dcterms:modified>
</cp:coreProperties>
</file>