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-MIRABEL\FINANCE\MQMI\RECYCLAGE\2019\"/>
    </mc:Choice>
  </mc:AlternateContent>
  <xr:revisionPtr revIDLastSave="0" documentId="8_{E4A0AC8C-F90B-4C41-9857-3931CF4DA70D}" xr6:coauthVersionLast="45" xr6:coauthVersionMax="45" xr10:uidLastSave="{00000000-0000-0000-0000-000000000000}"/>
  <bookViews>
    <workbookView xWindow="28680" yWindow="-120" windowWidth="29040" windowHeight="15840" xr2:uid="{DC1CEE4C-74D6-4B48-9985-9468E3E0940C}"/>
  </bookViews>
  <sheets>
    <sheet name="Calcul Recycle Médi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'Calcul Recycle Média'!$A$1:$P$44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5" i="1"/>
  <c r="G20" i="1"/>
  <c r="E21" i="1"/>
  <c r="E22" i="1"/>
  <c r="E23" i="1"/>
  <c r="E24" i="1"/>
  <c r="E25" i="1"/>
  <c r="E26" i="1"/>
  <c r="E27" i="1"/>
  <c r="E28" i="1"/>
  <c r="F28" i="1" s="1"/>
  <c r="E29" i="1"/>
  <c r="E20" i="1"/>
  <c r="D29" i="1"/>
  <c r="D28" i="1"/>
  <c r="D27" i="1"/>
  <c r="D26" i="1"/>
  <c r="D25" i="1"/>
  <c r="D24" i="1"/>
  <c r="D23" i="1"/>
  <c r="D22" i="1"/>
  <c r="D21" i="1"/>
  <c r="D20" i="1"/>
  <c r="H65" i="1"/>
  <c r="G65" i="1"/>
  <c r="I64" i="1"/>
  <c r="I63" i="1"/>
  <c r="I65" i="1" s="1"/>
  <c r="I62" i="1"/>
  <c r="P49" i="1"/>
  <c r="P48" i="1"/>
  <c r="E42" i="1" s="1"/>
  <c r="H42" i="1" s="1"/>
  <c r="G46" i="1"/>
  <c r="F46" i="1"/>
  <c r="E46" i="1"/>
  <c r="F42" i="1"/>
  <c r="H55" i="1" s="1"/>
  <c r="L16" i="1"/>
  <c r="H16" i="1"/>
  <c r="D16" i="1"/>
  <c r="P34" i="1" s="1"/>
  <c r="P38" i="1" s="1"/>
  <c r="P14" i="1"/>
  <c r="O13" i="1"/>
  <c r="O16" i="1" s="1"/>
  <c r="N13" i="1"/>
  <c r="N16" i="1" s="1"/>
  <c r="M13" i="1"/>
  <c r="L13" i="1"/>
  <c r="K13" i="1"/>
  <c r="K16" i="1" s="1"/>
  <c r="J13" i="1"/>
  <c r="J16" i="1" s="1"/>
  <c r="I13" i="1"/>
  <c r="H13" i="1"/>
  <c r="G13" i="1"/>
  <c r="G16" i="1" s="1"/>
  <c r="F13" i="1"/>
  <c r="F16" i="1" s="1"/>
  <c r="E13" i="1"/>
  <c r="D13" i="1"/>
  <c r="P13" i="1" s="1"/>
  <c r="P12" i="1"/>
  <c r="P11" i="1"/>
  <c r="O10" i="1"/>
  <c r="N10" i="1"/>
  <c r="M10" i="1"/>
  <c r="M16" i="1" s="1"/>
  <c r="L10" i="1"/>
  <c r="K10" i="1"/>
  <c r="J10" i="1"/>
  <c r="I10" i="1"/>
  <c r="I16" i="1" s="1"/>
  <c r="H10" i="1"/>
  <c r="G10" i="1"/>
  <c r="F10" i="1"/>
  <c r="E10" i="1"/>
  <c r="E16" i="1" s="1"/>
  <c r="D10" i="1"/>
  <c r="P10" i="1" s="1"/>
  <c r="P9" i="1"/>
  <c r="P8" i="1"/>
  <c r="P7" i="1"/>
  <c r="P6" i="1"/>
  <c r="O5" i="1"/>
  <c r="N5" i="1"/>
  <c r="M5" i="1"/>
  <c r="L5" i="1"/>
  <c r="K5" i="1"/>
  <c r="J5" i="1"/>
  <c r="I5" i="1"/>
  <c r="H5" i="1"/>
  <c r="G5" i="1"/>
  <c r="F5" i="1"/>
  <c r="E5" i="1"/>
  <c r="D5" i="1"/>
  <c r="P5" i="1" s="1"/>
  <c r="G31" i="1" l="1"/>
  <c r="E31" i="1"/>
  <c r="F20" i="1"/>
  <c r="I28" i="1"/>
  <c r="F25" i="1"/>
  <c r="D31" i="1"/>
  <c r="G54" i="1"/>
  <c r="E41" i="1"/>
  <c r="G55" i="1"/>
  <c r="I55" i="1" s="1"/>
  <c r="F41" i="1"/>
  <c r="F43" i="1" s="1"/>
  <c r="G56" i="1"/>
  <c r="I56" i="1" s="1"/>
  <c r="G41" i="1"/>
  <c r="G43" i="1" s="1"/>
  <c r="P16" i="1"/>
  <c r="P39" i="1" s="1"/>
  <c r="H54" i="1"/>
  <c r="H57" i="1" s="1"/>
  <c r="H67" i="1" s="1"/>
  <c r="F31" i="1" l="1"/>
  <c r="E43" i="1"/>
  <c r="H43" i="1" s="1"/>
  <c r="H41" i="1"/>
  <c r="I54" i="1"/>
  <c r="I57" i="1" s="1"/>
  <c r="I67" i="1" s="1"/>
  <c r="G57" i="1"/>
  <c r="G67" i="1" s="1"/>
  <c r="H20" i="1" l="1"/>
  <c r="H25" i="1"/>
  <c r="I25" i="1" s="1"/>
  <c r="H31" i="1" l="1"/>
  <c r="I20" i="1"/>
  <c r="I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 Tardif</author>
  </authors>
  <commentList>
    <comment ref="A1" authorId="0" shapeId="0" xr:uid="{539AB401-FFBB-45D6-BE10-70EF94B220FB}">
      <text>
        <r>
          <rPr>
            <b/>
            <sz val="9"/>
            <color indexed="81"/>
            <rFont val="Tahoma"/>
            <family val="2"/>
          </rPr>
          <t>France Tardif:</t>
        </r>
        <r>
          <rPr>
            <sz val="9"/>
            <color indexed="81"/>
            <rFont val="Tahoma"/>
            <family val="2"/>
          </rPr>
          <t xml:space="preserve">
Sage / Comptes GL
Départ - Production 2120</t>
        </r>
      </text>
    </comment>
  </commentList>
</comments>
</file>

<file path=xl/sharedStrings.xml><?xml version="1.0" encoding="utf-8"?>
<sst xmlns="http://schemas.openxmlformats.org/spreadsheetml/2006/main" count="103" uniqueCount="48">
  <si>
    <t>Statistiques Tonnage 2019</t>
  </si>
  <si>
    <t>Réel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</si>
  <si>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</si>
  <si>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</si>
  <si>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</si>
  <si>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</si>
  <si>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</si>
  <si>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</si>
  <si>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</si>
  <si>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</si>
  <si>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</si>
  <si>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</si>
  <si>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</si>
  <si>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</si>
  <si>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</si>
  <si>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Journal de Québec</t>
  </si>
  <si>
    <t>Newsprint Stats</t>
  </si>
  <si>
    <t>9950-100</t>
  </si>
  <si>
    <t>9950-300</t>
  </si>
  <si>
    <t>9950-101</t>
  </si>
  <si>
    <t>9950-302</t>
  </si>
  <si>
    <t>Journal de Montréal</t>
  </si>
  <si>
    <t>24 Heures</t>
  </si>
  <si>
    <t>Grand Total</t>
  </si>
  <si>
    <t>Tonnage moyen (réel)</t>
  </si>
  <si>
    <t>Tonnage moyen (budgété</t>
  </si>
  <si>
    <t>Réel / Budgété</t>
  </si>
  <si>
    <t>Total selon réel</t>
  </si>
  <si>
    <t>Écart</t>
  </si>
  <si>
    <t>JDM</t>
  </si>
  <si>
    <t>JDQ</t>
  </si>
  <si>
    <t>24HM</t>
  </si>
  <si>
    <t>Nombre de page moyen</t>
  </si>
  <si>
    <t>Retour JDM</t>
  </si>
  <si>
    <t>Retour JDQ</t>
  </si>
  <si>
    <t>Tonnage</t>
  </si>
  <si>
    <t>Retour</t>
  </si>
  <si>
    <t>Tonne net</t>
  </si>
  <si>
    <t>Rapport Final</t>
  </si>
  <si>
    <t>Information donnée à Recycle Média 25-09-2019</t>
  </si>
  <si>
    <t>pour les prévisions 2019</t>
  </si>
  <si>
    <t>Actual</t>
  </si>
  <si>
    <t xml:space="preserve">Variation </t>
  </si>
  <si>
    <t>2018 (+)</t>
  </si>
  <si>
    <t>Déclaré 2018</t>
  </si>
  <si>
    <t>2019 vs 2018</t>
  </si>
  <si>
    <t>Recyclé 2019</t>
  </si>
  <si>
    <t>Déclaré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</si>
</sst>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_ ;_ * \(#,##0.00\)_ ;_ * &quot;-&quot;??_)_ ;_ @_ "/>
    <numFmt numFmtId="164" formatCode="_ * #,##0.00_)\ _$_ ;_ * \(#,##0.00\)\ _$_ ;_ * &quot;-&quot;??_)\ _$_ ;_ @_ "/>
    <numFmt numFmtId="165" formatCode="#,##0.00\ _$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0" fontId="0" fillId="2" borderId="1" xfId="0" applyFill="1" applyBorder="1"/>
    <xf numFmtId="3" fontId="0" fillId="2" borderId="1" xfId="0" applyNumberFormat="1" applyFill="1" applyBorder="1"/>
    <xf numFmtId="3" fontId="0" fillId="3" borderId="0" xfId="0" applyNumberFormat="1" applyFill="1"/>
    <xf numFmtId="9" fontId="0" fillId="0" borderId="0" xfId="0" applyNumberFormat="1"/>
    <xf numFmtId="43" fontId="0" fillId="0" borderId="0" xfId="1" applyFont="1"/>
    <xf numFmtId="43" fontId="0" fillId="0" borderId="0" xfId="0" applyNumberFormat="1"/>
    <xf numFmtId="43" fontId="0" fillId="0" borderId="2" xfId="1" applyFont="1" applyBorder="1"/>
    <xf numFmtId="43" fontId="0" fillId="0" borderId="2" xfId="0" applyNumberFormat="1" applyBorder="1"/>
    <xf numFmtId="1" fontId="0" fillId="3" borderId="0" xfId="0" applyNumberFormat="1" applyFill="1"/>
    <xf numFmtId="0" fontId="0" fillId="3" borderId="0" xfId="0" applyFill="1"/>
    <xf numFmtId="0" fontId="0" fillId="0" borderId="0" xfId="0" applyAlignment="1">
      <alignment horizontal="center"/>
    </xf>
    <xf numFmtId="3" fontId="0" fillId="0" borderId="2" xfId="0" applyNumberFormat="1" applyBorder="1"/>
    <xf numFmtId="0" fontId="0" fillId="0" borderId="2" xfId="0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0" borderId="0" xfId="0" applyNumberFormat="1" applyFont="1"/>
    <xf numFmtId="9" fontId="0" fillId="0" borderId="0" xfId="2" applyFont="1"/>
    <xf numFmtId="164" fontId="0" fillId="0" borderId="0" xfId="0" applyNumberFormat="1"/>
    <xf numFmtId="164" fontId="0" fillId="4" borderId="5" xfId="0" applyNumberFormat="1" applyFill="1" applyBorder="1"/>
    <xf numFmtId="0" fontId="0" fillId="4" borderId="5" xfId="0" applyFill="1" applyBorder="1"/>
    <xf numFmtId="164" fontId="5" fillId="4" borderId="5" xfId="0" applyNumberFormat="1" applyFont="1" applyFill="1" applyBorder="1"/>
    <xf numFmtId="164" fontId="6" fillId="4" borderId="0" xfId="0" applyNumberFormat="1" applyFont="1" applyFill="1"/>
    <xf numFmtId="9" fontId="6" fillId="4" borderId="0" xfId="2" applyFont="1" applyFill="1"/>
    <xf numFmtId="165" fontId="6" fillId="4" borderId="6" xfId="0" applyNumberFormat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-MIRABEL/FINANCE/MQMI/RECYCLAGE/2018/Recyclage%202018%20-%20D&#201;CLAR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nnage%20pour%20Recycle%20M&#233;di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-MIRABEL\FINANCE\MQMI\FIN%20DE%20MOIS\2019\P12%20-%20D&#201;CEMBRE\ETATS%20FINANCIERS\&#201;TATS%20FINANCIERS\12.01.MQMI%20-%20JMTL%20-%20R&#233;sultats%202019%20(SF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-MIRABEL\FINANCE\MQMI\FIN%20DE%20MOIS\2019\P12%20-%20D&#201;CEMBRE\ETATS%20FINANCIERS\&#201;TATS%20FINANCIERS\12.01.MQMI%20-%20JQUE%20-%20R&#233;sultats%202019%20(SF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-MIRABEL\FINANCE\MQMI\FIN%20DE%20MOIS\2019\P12%20-%20D&#201;CEMBRE\ETATS%20FINANCIERS\&#201;TATS%20FINANCIERS\12.01.MQMI%20-%2024HM%20-%20R&#233;sultats%202019%20(SF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-MIRABEL/FINANCE/RQMI/RECYCLAGE/Recyclage%20-%20Rebuts/Recycle%20Medias/Recyclage%20quotidie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tapes"/>
      <sheetName val="Déclaration tonnage"/>
      <sheetName val="Tirage annuel et nb moyen pages"/>
    </sheetNames>
    <sheetDataSet>
      <sheetData sheetId="0"/>
      <sheetData sheetId="1">
        <row r="21">
          <cell r="C21">
            <v>6397.1500000000005</v>
          </cell>
          <cell r="H21">
            <v>6016.5481297877104</v>
          </cell>
        </row>
        <row r="22">
          <cell r="C22">
            <v>5542.2599999999993</v>
          </cell>
        </row>
        <row r="23">
          <cell r="C23">
            <v>798.97000000000014</v>
          </cell>
        </row>
        <row r="24">
          <cell r="C24">
            <v>0</v>
          </cell>
        </row>
        <row r="25">
          <cell r="C25">
            <v>55.92</v>
          </cell>
        </row>
        <row r="26">
          <cell r="C26">
            <v>15358.4</v>
          </cell>
          <cell r="H26">
            <v>14144.586900357264</v>
          </cell>
        </row>
        <row r="27">
          <cell r="C27">
            <v>13901.270000000002</v>
          </cell>
        </row>
        <row r="28">
          <cell r="C28">
            <v>1457.13</v>
          </cell>
        </row>
        <row r="29">
          <cell r="C29">
            <v>2198.2000000000003</v>
          </cell>
          <cell r="H29">
            <v>2198.2000000000003</v>
          </cell>
        </row>
        <row r="30">
          <cell r="C30">
            <v>2198.2000000000003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alcul Recycle Media"/>
    </sheetNames>
    <sheetDataSet>
      <sheetData sheetId="0">
        <row r="26">
          <cell r="E26">
            <v>-983.54233707824221</v>
          </cell>
          <cell r="F26">
            <v>-306.93897873237864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Page de présentation"/>
      <sheetName val="Bridge Budget"/>
      <sheetName val="Bridge Réel"/>
      <sheetName val="Sommaire GM"/>
      <sheetName val="Sommaire par département"/>
      <sheetName val="Revenus"/>
      <sheetName val="salaires"/>
      <sheetName val="Papier et Production"/>
      <sheetName val="Frais de vente"/>
      <sheetName val="Rédaction"/>
      <sheetName val="Diffusion"/>
      <sheetName val="Promotion"/>
      <sheetName val="Immeuble"/>
      <sheetName val="Administration"/>
      <sheetName val="TI"/>
      <sheetName val="sommaire des écarts"/>
      <sheetName val="Annonces classées"/>
      <sheetName val="Revenus diffusion"/>
      <sheetName val="Frais de recharge QVM"/>
      <sheetName val="É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5">
          <cell r="N75">
            <v>61340601</v>
          </cell>
        </row>
        <row r="76">
          <cell r="N76">
            <v>34566</v>
          </cell>
        </row>
      </sheetData>
      <sheetData sheetId="9" refreshError="1"/>
      <sheetData sheetId="10" refreshError="1"/>
      <sheetData sheetId="11">
        <row r="102">
          <cell r="N102">
            <v>256</v>
          </cell>
        </row>
        <row r="163">
          <cell r="N163">
            <v>52</v>
          </cell>
        </row>
        <row r="221">
          <cell r="N221">
            <v>52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Page de présentation"/>
      <sheetName val="Bridge Budget"/>
      <sheetName val="Bridge Réel"/>
      <sheetName val="Sommaire GM"/>
      <sheetName val="Sommaire par département"/>
      <sheetName val="Revenus"/>
      <sheetName val="Salaires"/>
      <sheetName val="Papier et Production"/>
      <sheetName val="Frais de vente"/>
      <sheetName val="Rédaction"/>
      <sheetName val="Diffusion"/>
      <sheetName val="Promotion"/>
      <sheetName val="Immeuble"/>
      <sheetName val="Administration"/>
      <sheetName val="TI"/>
      <sheetName val="Diffusion - TOTAL"/>
      <sheetName val="Revenus - COMMISSIONS"/>
      <sheetName val="Salaires - VALIDATION"/>
      <sheetName val="Frais  QVM"/>
      <sheetName val="sommaire des éc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5">
          <cell r="N75">
            <v>29569390</v>
          </cell>
        </row>
        <row r="76">
          <cell r="N76">
            <v>31616</v>
          </cell>
        </row>
      </sheetData>
      <sheetData sheetId="9" refreshError="1"/>
      <sheetData sheetId="10" refreshError="1"/>
      <sheetData sheetId="11">
        <row r="92">
          <cell r="N92">
            <v>254</v>
          </cell>
        </row>
        <row r="153">
          <cell r="N153">
            <v>52</v>
          </cell>
        </row>
        <row r="211">
          <cell r="N211">
            <v>52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Page de présentation"/>
      <sheetName val="Bridge Budget"/>
      <sheetName val="Bridge Réel"/>
      <sheetName val="Sommaire GM"/>
      <sheetName val="Sommaire par département"/>
      <sheetName val="Revenus"/>
      <sheetName val="Salaires"/>
      <sheetName val="Papier et Production"/>
      <sheetName val="Frais de vente"/>
      <sheetName val="Rédaction"/>
      <sheetName val="Diffusion"/>
      <sheetName val="Promotion"/>
      <sheetName val="Immeuble"/>
      <sheetName val="Administration"/>
      <sheetName val="TI"/>
      <sheetName val="Frais QMV"/>
      <sheetName val="Classées"/>
      <sheetName val="sommaire des éc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9">
          <cell r="N79">
            <v>27978749</v>
          </cell>
        </row>
        <row r="80">
          <cell r="N80">
            <v>7500</v>
          </cell>
        </row>
      </sheetData>
      <sheetData sheetId="9" refreshError="1"/>
      <sheetData sheetId="10" refreshError="1"/>
      <sheetData sheetId="11">
        <row r="91">
          <cell r="N91">
            <v>234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poids"/>
      <sheetName val="Procéd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F8">
            <v>983.54233707824221</v>
          </cell>
        </row>
        <row r="9">
          <cell r="F9">
            <v>306.93897873237864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9CA6-3527-4732-8614-EA6DFDD1CAEB}">
  <sheetPr>
    <pageSetUpPr fitToPage="1"/>
  </sheetPr>
  <dimension ref="A1:P67"/>
  <sheetViews>
    <sheetView tabSelected="1" workbookViewId="0">
      <selection activeCell="M25" sqref="M25"/>
    </sheetView>
  </sheetViews>
  <sheetFormatPr baseColWidth="10" defaultRowHeight="15" x14ac:dyDescent="0.25"/>
  <cols>
    <col min="1" max="1" width="24.140625" bestFit="1" customWidth="1"/>
    <col min="2" max="2" width="19.7109375" customWidth="1"/>
    <col min="3" max="3" width="1.140625" customWidth="1"/>
    <col min="4" max="4" width="13.5703125" customWidth="1"/>
    <col min="5" max="5" width="12.5703125" customWidth="1"/>
    <col min="7" max="7" width="12.42578125" bestFit="1" customWidth="1"/>
    <col min="9" max="9" width="14.140625" customWidth="1"/>
  </cols>
  <sheetData>
    <row r="1" spans="1:16" ht="15.75" x14ac:dyDescent="0.25">
      <c r="A1" s="1" t="s">
        <v>0</v>
      </c>
    </row>
    <row r="3" spans="1:16" x14ac:dyDescent="0.25">
      <c r="D3" t="s">
        <v>1</v>
      </c>
      <c r="E3" t="s">
        <v>1</v>
      </c>
      <c r="F3" t="s">
        <v>1</v>
      </c>
      <c r="G3" t="s">
        <v>1</v>
      </c>
      <c r="H3" t="s">
        <v>1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1</v>
      </c>
      <c r="P3" t="s">
        <v>1</v>
      </c>
    </row>
    <row r="4" spans="1:16" x14ac:dyDescent="0.25"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</row>
    <row r="5" spans="1:16" x14ac:dyDescent="0.25">
      <c r="A5" s="2" t="s">
        <v>15</v>
      </c>
      <c r="B5" s="2" t="s">
        <v>16</v>
      </c>
      <c r="C5" s="2"/>
      <c r="D5" s="3">
        <f t="shared" ref="D5:O5" si="0">SUM(D6:D9)</f>
        <v>512.5</v>
      </c>
      <c r="E5" s="3">
        <f t="shared" si="0"/>
        <v>463.61</v>
      </c>
      <c r="F5" s="3">
        <f t="shared" si="0"/>
        <v>453.13</v>
      </c>
      <c r="G5" s="3">
        <f t="shared" si="0"/>
        <v>577.48</v>
      </c>
      <c r="H5" s="3">
        <f t="shared" si="0"/>
        <v>467.46</v>
      </c>
      <c r="I5" s="3">
        <f t="shared" si="0"/>
        <v>445.09000000000003</v>
      </c>
      <c r="J5" s="3">
        <f t="shared" si="0"/>
        <v>472.51</v>
      </c>
      <c r="K5" s="3">
        <f t="shared" si="0"/>
        <v>392.02</v>
      </c>
      <c r="L5" s="3">
        <f t="shared" si="0"/>
        <v>448.25999999999993</v>
      </c>
      <c r="M5" s="3">
        <f t="shared" si="0"/>
        <v>553.64</v>
      </c>
      <c r="N5" s="3">
        <f t="shared" si="0"/>
        <v>452.48</v>
      </c>
      <c r="O5" s="3">
        <f t="shared" si="0"/>
        <v>416.08</v>
      </c>
      <c r="P5" s="3">
        <f>SUM(D5:O5)</f>
        <v>5654.26</v>
      </c>
    </row>
    <row r="6" spans="1:16" x14ac:dyDescent="0.25">
      <c r="A6" t="s">
        <v>15</v>
      </c>
      <c r="B6" t="s">
        <v>17</v>
      </c>
      <c r="D6" s="4">
        <v>448</v>
      </c>
      <c r="E6" s="4">
        <v>399.91</v>
      </c>
      <c r="F6" s="4">
        <v>394.5</v>
      </c>
      <c r="G6" s="4">
        <v>498.27</v>
      </c>
      <c r="H6" s="4">
        <v>401.15</v>
      </c>
      <c r="I6" s="4">
        <v>377.73</v>
      </c>
      <c r="J6" s="4">
        <v>417.19</v>
      </c>
      <c r="K6" s="4">
        <v>347.2</v>
      </c>
      <c r="L6" s="4">
        <v>369.21</v>
      </c>
      <c r="M6" s="4">
        <v>468.66</v>
      </c>
      <c r="N6" s="4">
        <v>382.84</v>
      </c>
      <c r="O6" s="4">
        <v>353.5</v>
      </c>
      <c r="P6" s="4">
        <f t="shared" ref="P6:P16" si="1">SUM(D6:O6)</f>
        <v>4858.16</v>
      </c>
    </row>
    <row r="7" spans="1:16" x14ac:dyDescent="0.25">
      <c r="A7" t="s">
        <v>15</v>
      </c>
      <c r="B7" t="s">
        <v>18</v>
      </c>
      <c r="D7" s="4">
        <v>60.43</v>
      </c>
      <c r="E7" s="4">
        <v>59.64</v>
      </c>
      <c r="F7" s="4">
        <v>54.35</v>
      </c>
      <c r="G7" s="4">
        <v>73.989999999999995</v>
      </c>
      <c r="H7" s="4">
        <v>62.32</v>
      </c>
      <c r="I7" s="4">
        <v>63.61</v>
      </c>
      <c r="J7" s="4">
        <v>52.2</v>
      </c>
      <c r="K7" s="4">
        <v>41.99</v>
      </c>
      <c r="L7" s="4">
        <v>74.22</v>
      </c>
      <c r="M7" s="4">
        <v>80.069999999999993</v>
      </c>
      <c r="N7" s="4">
        <v>65.53</v>
      </c>
      <c r="O7" s="4">
        <v>60.33</v>
      </c>
      <c r="P7" s="4">
        <f t="shared" si="1"/>
        <v>748.68</v>
      </c>
    </row>
    <row r="8" spans="1:16" x14ac:dyDescent="0.25">
      <c r="A8" t="s">
        <v>15</v>
      </c>
      <c r="B8" t="s">
        <v>19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1"/>
        <v>0</v>
      </c>
    </row>
    <row r="9" spans="1:16" x14ac:dyDescent="0.25">
      <c r="A9" t="s">
        <v>15</v>
      </c>
      <c r="B9" t="s">
        <v>20</v>
      </c>
      <c r="D9" s="4">
        <v>4.07</v>
      </c>
      <c r="E9" s="4">
        <v>4.0599999999999996</v>
      </c>
      <c r="F9" s="4">
        <v>4.28</v>
      </c>
      <c r="G9" s="4">
        <v>5.22</v>
      </c>
      <c r="H9" s="4">
        <v>3.99</v>
      </c>
      <c r="I9" s="4">
        <v>3.75</v>
      </c>
      <c r="J9" s="4">
        <v>3.12</v>
      </c>
      <c r="K9" s="4">
        <v>2.83</v>
      </c>
      <c r="L9" s="4">
        <v>4.83</v>
      </c>
      <c r="M9" s="4">
        <v>4.91</v>
      </c>
      <c r="N9" s="4">
        <v>4.1100000000000003</v>
      </c>
      <c r="O9" s="4">
        <v>2.25</v>
      </c>
      <c r="P9" s="4">
        <f t="shared" si="1"/>
        <v>47.42</v>
      </c>
    </row>
    <row r="10" spans="1:16" x14ac:dyDescent="0.25">
      <c r="A10" s="2" t="s">
        <v>21</v>
      </c>
      <c r="B10" s="2" t="s">
        <v>16</v>
      </c>
      <c r="C10" s="2"/>
      <c r="D10" s="3">
        <f t="shared" ref="D10:O10" si="2">SUM(D11:D12)</f>
        <v>1220.33</v>
      </c>
      <c r="E10" s="3">
        <f t="shared" si="2"/>
        <v>1094.3800000000001</v>
      </c>
      <c r="F10" s="3">
        <f t="shared" si="2"/>
        <v>1090.1099999999999</v>
      </c>
      <c r="G10" s="3">
        <f t="shared" si="2"/>
        <v>1348.6799999999998</v>
      </c>
      <c r="H10" s="3">
        <f t="shared" si="2"/>
        <v>1102.43</v>
      </c>
      <c r="I10" s="3">
        <f t="shared" si="2"/>
        <v>998.3</v>
      </c>
      <c r="J10" s="3">
        <f t="shared" si="2"/>
        <v>1122.3999999999999</v>
      </c>
      <c r="K10" s="3">
        <f t="shared" si="2"/>
        <v>946.42</v>
      </c>
      <c r="L10" s="3">
        <f t="shared" si="2"/>
        <v>1064.6199999999999</v>
      </c>
      <c r="M10" s="3">
        <f t="shared" si="2"/>
        <v>1356.39</v>
      </c>
      <c r="N10" s="3">
        <f t="shared" si="2"/>
        <v>1051.6500000000001</v>
      </c>
      <c r="O10" s="3">
        <f t="shared" si="2"/>
        <v>960.57</v>
      </c>
      <c r="P10" s="3">
        <f t="shared" si="1"/>
        <v>13356.279999999997</v>
      </c>
    </row>
    <row r="11" spans="1:16" x14ac:dyDescent="0.25">
      <c r="A11" t="s">
        <v>21</v>
      </c>
      <c r="B11" t="s">
        <v>18</v>
      </c>
      <c r="D11" s="4">
        <v>1121.1199999999999</v>
      </c>
      <c r="E11" s="4">
        <v>964.27</v>
      </c>
      <c r="F11" s="4">
        <v>984.04</v>
      </c>
      <c r="G11" s="4">
        <v>1216.1199999999999</v>
      </c>
      <c r="H11" s="4">
        <v>946.09</v>
      </c>
      <c r="I11" s="4">
        <v>927.29</v>
      </c>
      <c r="J11" s="4">
        <v>1046.1199999999999</v>
      </c>
      <c r="K11" s="4">
        <v>878.16</v>
      </c>
      <c r="L11" s="4">
        <v>951.68</v>
      </c>
      <c r="M11" s="4">
        <v>1196.4000000000001</v>
      </c>
      <c r="N11" s="4">
        <v>963.62</v>
      </c>
      <c r="O11" s="4">
        <v>886.87</v>
      </c>
      <c r="P11" s="4">
        <f t="shared" si="1"/>
        <v>12081.78</v>
      </c>
    </row>
    <row r="12" spans="1:16" x14ac:dyDescent="0.25">
      <c r="A12" t="s">
        <v>21</v>
      </c>
      <c r="B12" t="s">
        <v>20</v>
      </c>
      <c r="D12" s="4">
        <v>99.21</v>
      </c>
      <c r="E12" s="4">
        <v>130.11000000000001</v>
      </c>
      <c r="F12" s="4">
        <v>106.07</v>
      </c>
      <c r="G12" s="4">
        <v>132.56</v>
      </c>
      <c r="H12" s="4">
        <v>156.34</v>
      </c>
      <c r="I12" s="4">
        <v>71.010000000000005</v>
      </c>
      <c r="J12" s="4">
        <v>76.28</v>
      </c>
      <c r="K12" s="4">
        <v>68.260000000000005</v>
      </c>
      <c r="L12" s="4">
        <v>112.94</v>
      </c>
      <c r="M12" s="4">
        <v>159.99</v>
      </c>
      <c r="N12" s="4">
        <v>88.03</v>
      </c>
      <c r="O12" s="4">
        <v>73.7</v>
      </c>
      <c r="P12" s="4">
        <f t="shared" si="1"/>
        <v>1274.5</v>
      </c>
    </row>
    <row r="13" spans="1:16" x14ac:dyDescent="0.25">
      <c r="A13" s="2" t="s">
        <v>22</v>
      </c>
      <c r="B13" s="2" t="s">
        <v>16</v>
      </c>
      <c r="C13" s="2"/>
      <c r="D13" s="3">
        <f t="shared" ref="D13:O13" si="3">D14</f>
        <v>175.86</v>
      </c>
      <c r="E13" s="3">
        <f t="shared" si="3"/>
        <v>161.12</v>
      </c>
      <c r="F13" s="3">
        <f t="shared" si="3"/>
        <v>149.53</v>
      </c>
      <c r="G13" s="3">
        <f t="shared" si="3"/>
        <v>176.84</v>
      </c>
      <c r="H13" s="3">
        <f t="shared" si="3"/>
        <v>136.05000000000001</v>
      </c>
      <c r="I13" s="3">
        <f t="shared" si="3"/>
        <v>137.01</v>
      </c>
      <c r="J13" s="3">
        <f t="shared" si="3"/>
        <v>96.16</v>
      </c>
      <c r="K13" s="3">
        <f t="shared" si="3"/>
        <v>136.04</v>
      </c>
      <c r="L13" s="3">
        <f t="shared" si="3"/>
        <v>145.86000000000001</v>
      </c>
      <c r="M13" s="3">
        <f t="shared" si="3"/>
        <v>201.52</v>
      </c>
      <c r="N13" s="3">
        <f t="shared" si="3"/>
        <v>168.38</v>
      </c>
      <c r="O13" s="3">
        <f t="shared" si="3"/>
        <v>121.69</v>
      </c>
      <c r="P13" s="3">
        <f t="shared" si="1"/>
        <v>1806.0600000000004</v>
      </c>
    </row>
    <row r="14" spans="1:16" x14ac:dyDescent="0.25">
      <c r="A14" t="s">
        <v>22</v>
      </c>
      <c r="B14" t="s">
        <v>18</v>
      </c>
      <c r="D14" s="4">
        <v>175.86</v>
      </c>
      <c r="E14" s="4">
        <v>161.12</v>
      </c>
      <c r="F14" s="4">
        <v>149.53</v>
      </c>
      <c r="G14" s="4">
        <v>176.84</v>
      </c>
      <c r="H14" s="4">
        <v>136.05000000000001</v>
      </c>
      <c r="I14" s="4">
        <v>137.01</v>
      </c>
      <c r="J14" s="4">
        <v>96.16</v>
      </c>
      <c r="K14" s="4">
        <v>136.04</v>
      </c>
      <c r="L14" s="4">
        <v>145.86000000000001</v>
      </c>
      <c r="M14" s="4">
        <v>201.52</v>
      </c>
      <c r="N14" s="4">
        <v>168.38</v>
      </c>
      <c r="O14" s="4">
        <v>121.69</v>
      </c>
      <c r="P14" s="4">
        <f t="shared" si="1"/>
        <v>1806.0600000000004</v>
      </c>
    </row>
    <row r="15" spans="1:16" x14ac:dyDescent="0.2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5" t="s">
        <v>23</v>
      </c>
      <c r="B16" s="5"/>
      <c r="C16" s="5"/>
      <c r="D16" s="6">
        <f>+D13+D10+D5</f>
        <v>1908.69</v>
      </c>
      <c r="E16" s="6">
        <f t="shared" ref="E16:O16" si="4">+E13+E10+E5</f>
        <v>1719.1100000000001</v>
      </c>
      <c r="F16" s="6">
        <f t="shared" si="4"/>
        <v>1692.77</v>
      </c>
      <c r="G16" s="6">
        <f t="shared" si="4"/>
        <v>2103</v>
      </c>
      <c r="H16" s="6">
        <f t="shared" si="4"/>
        <v>1705.94</v>
      </c>
      <c r="I16" s="6">
        <f t="shared" si="4"/>
        <v>1580.4</v>
      </c>
      <c r="J16" s="6">
        <f t="shared" si="4"/>
        <v>1691.07</v>
      </c>
      <c r="K16" s="6">
        <f t="shared" si="4"/>
        <v>1474.48</v>
      </c>
      <c r="L16" s="6">
        <f t="shared" si="4"/>
        <v>1658.74</v>
      </c>
      <c r="M16" s="6">
        <f t="shared" si="4"/>
        <v>2111.5500000000002</v>
      </c>
      <c r="N16" s="6">
        <f t="shared" si="4"/>
        <v>1672.5100000000002</v>
      </c>
      <c r="O16" s="6">
        <f t="shared" si="4"/>
        <v>1498.34</v>
      </c>
      <c r="P16" s="6">
        <f t="shared" si="1"/>
        <v>20816.600000000002</v>
      </c>
    </row>
    <row r="18" spans="1:9" ht="15.75" thickBot="1" x14ac:dyDescent="0.3">
      <c r="D18" s="15" t="s">
        <v>41</v>
      </c>
      <c r="E18" s="15" t="s">
        <v>41</v>
      </c>
      <c r="F18" s="15" t="s">
        <v>42</v>
      </c>
      <c r="G18" s="15"/>
      <c r="H18" s="15"/>
    </row>
    <row r="19" spans="1:9" x14ac:dyDescent="0.25">
      <c r="D19" s="18">
        <v>2019</v>
      </c>
      <c r="E19" s="18" t="s">
        <v>43</v>
      </c>
      <c r="F19" s="19" t="s">
        <v>45</v>
      </c>
      <c r="G19" s="19" t="s">
        <v>44</v>
      </c>
      <c r="H19" s="20" t="s">
        <v>46</v>
      </c>
      <c r="I19" s="21" t="s">
        <v>47</v>
      </c>
    </row>
    <row r="20" spans="1:9" x14ac:dyDescent="0.25">
      <c r="A20" s="2" t="s">
        <v>15</v>
      </c>
      <c r="B20" s="2" t="s">
        <v>16</v>
      </c>
      <c r="D20" s="22">
        <f t="shared" ref="D20:D29" si="5">+P5</f>
        <v>5654.26</v>
      </c>
      <c r="E20" s="22">
        <f>+'[1]Déclaration tonnage'!C21</f>
        <v>6397.1500000000005</v>
      </c>
      <c r="F20" s="23">
        <f>(D20-E20)/E20</f>
        <v>-0.11612827587284967</v>
      </c>
      <c r="G20" s="24">
        <f>+'[1]Déclaration tonnage'!$H$21</f>
        <v>6016.5481297877104</v>
      </c>
      <c r="H20" s="24">
        <f>-[2]Feuil1!$F$26</f>
        <v>306.93897873237864</v>
      </c>
      <c r="I20" s="25">
        <f>D20-H20</f>
        <v>5347.3210212676213</v>
      </c>
    </row>
    <row r="21" spans="1:9" x14ac:dyDescent="0.25">
      <c r="A21" t="s">
        <v>15</v>
      </c>
      <c r="B21" t="s">
        <v>17</v>
      </c>
      <c r="D21" s="24">
        <f t="shared" si="5"/>
        <v>4858.16</v>
      </c>
      <c r="E21" s="24">
        <f>+'[1]Déclaration tonnage'!C22</f>
        <v>5542.2599999999993</v>
      </c>
      <c r="I21" s="26"/>
    </row>
    <row r="22" spans="1:9" x14ac:dyDescent="0.25">
      <c r="A22" t="s">
        <v>15</v>
      </c>
      <c r="B22" t="s">
        <v>18</v>
      </c>
      <c r="D22" s="24">
        <f t="shared" si="5"/>
        <v>748.68</v>
      </c>
      <c r="E22" s="24">
        <f>+'[1]Déclaration tonnage'!C23</f>
        <v>798.97000000000014</v>
      </c>
      <c r="I22" s="26"/>
    </row>
    <row r="23" spans="1:9" x14ac:dyDescent="0.25">
      <c r="A23" t="s">
        <v>15</v>
      </c>
      <c r="B23" t="s">
        <v>19</v>
      </c>
      <c r="D23" s="24">
        <f t="shared" si="5"/>
        <v>0</v>
      </c>
      <c r="E23" s="24">
        <f>+'[1]Déclaration tonnage'!C24</f>
        <v>0</v>
      </c>
      <c r="I23" s="26"/>
    </row>
    <row r="24" spans="1:9" x14ac:dyDescent="0.25">
      <c r="A24" t="s">
        <v>15</v>
      </c>
      <c r="B24" t="s">
        <v>20</v>
      </c>
      <c r="D24" s="24">
        <f t="shared" si="5"/>
        <v>47.42</v>
      </c>
      <c r="E24" s="24">
        <f>+'[1]Déclaration tonnage'!C25</f>
        <v>55.92</v>
      </c>
      <c r="I24" s="26"/>
    </row>
    <row r="25" spans="1:9" x14ac:dyDescent="0.25">
      <c r="A25" s="2" t="s">
        <v>21</v>
      </c>
      <c r="B25" s="2" t="s">
        <v>16</v>
      </c>
      <c r="D25" s="22">
        <f t="shared" si="5"/>
        <v>13356.279999999997</v>
      </c>
      <c r="E25" s="22">
        <f>+'[1]Déclaration tonnage'!C26</f>
        <v>15358.4</v>
      </c>
      <c r="F25" s="23">
        <f>(D25-E25)/E25</f>
        <v>-0.13035993332638834</v>
      </c>
      <c r="G25" s="24">
        <f>+'[1]Déclaration tonnage'!$H$26</f>
        <v>14144.586900357264</v>
      </c>
      <c r="H25" s="24">
        <f>-[2]Feuil1!$E$26</f>
        <v>983.54233707824221</v>
      </c>
      <c r="I25" s="25">
        <f>D25-H25</f>
        <v>12372.737662921754</v>
      </c>
    </row>
    <row r="26" spans="1:9" x14ac:dyDescent="0.25">
      <c r="A26" t="s">
        <v>21</v>
      </c>
      <c r="B26" t="s">
        <v>18</v>
      </c>
      <c r="D26" s="24">
        <f t="shared" si="5"/>
        <v>12081.78</v>
      </c>
      <c r="E26" s="24">
        <f>+'[1]Déclaration tonnage'!C27</f>
        <v>13901.270000000002</v>
      </c>
      <c r="I26" s="26"/>
    </row>
    <row r="27" spans="1:9" x14ac:dyDescent="0.25">
      <c r="A27" t="s">
        <v>21</v>
      </c>
      <c r="B27" t="s">
        <v>20</v>
      </c>
      <c r="D27" s="24">
        <f t="shared" si="5"/>
        <v>1274.5</v>
      </c>
      <c r="E27" s="24">
        <f>+'[1]Déclaration tonnage'!C28</f>
        <v>1457.13</v>
      </c>
      <c r="I27" s="26"/>
    </row>
    <row r="28" spans="1:9" x14ac:dyDescent="0.25">
      <c r="A28" s="2" t="s">
        <v>22</v>
      </c>
      <c r="B28" s="2" t="s">
        <v>16</v>
      </c>
      <c r="D28" s="22">
        <f t="shared" si="5"/>
        <v>1806.0600000000004</v>
      </c>
      <c r="E28" s="22">
        <f>+'[1]Déclaration tonnage'!C29</f>
        <v>2198.2000000000003</v>
      </c>
      <c r="F28" s="23">
        <f>(D28-E28)/E28</f>
        <v>-0.17839141115458093</v>
      </c>
      <c r="G28" s="24">
        <f>+'[1]Déclaration tonnage'!$H$29</f>
        <v>2198.2000000000003</v>
      </c>
      <c r="H28" s="24">
        <v>0</v>
      </c>
      <c r="I28" s="27">
        <f>D28-H28</f>
        <v>1806.0600000000004</v>
      </c>
    </row>
    <row r="29" spans="1:9" x14ac:dyDescent="0.25">
      <c r="A29" t="s">
        <v>22</v>
      </c>
      <c r="B29" t="s">
        <v>18</v>
      </c>
      <c r="D29" s="24">
        <f t="shared" si="5"/>
        <v>1806.0600000000004</v>
      </c>
      <c r="E29" s="24">
        <f>+'[1]Déclaration tonnage'!C30</f>
        <v>2198.2000000000003</v>
      </c>
      <c r="I29" s="26"/>
    </row>
    <row r="30" spans="1:9" x14ac:dyDescent="0.25">
      <c r="I30" s="26"/>
    </row>
    <row r="31" spans="1:9" ht="15.75" thickBot="1" x14ac:dyDescent="0.3">
      <c r="D31" s="28">
        <f>D20+D25+D28</f>
        <v>20816.599999999999</v>
      </c>
      <c r="E31" s="28">
        <f>E20+E25+E28</f>
        <v>23953.75</v>
      </c>
      <c r="F31" s="29">
        <f>(D31-E31)/E31</f>
        <v>-0.13096696759380061</v>
      </c>
      <c r="G31" s="28">
        <f>G20+G25+G28</f>
        <v>22359.335030144975</v>
      </c>
      <c r="H31" s="28">
        <f>H20+H25+H28</f>
        <v>1290.4813158106208</v>
      </c>
      <c r="I31" s="30">
        <f>I20+I25+I28</f>
        <v>19526.118684189376</v>
      </c>
    </row>
    <row r="34" spans="1:16" x14ac:dyDescent="0.25">
      <c r="N34" t="s">
        <v>24</v>
      </c>
      <c r="P34" s="7">
        <f>AVERAGE(D16:O16)</f>
        <v>1734.7166666666669</v>
      </c>
    </row>
    <row r="35" spans="1:16" x14ac:dyDescent="0.25">
      <c r="N35" t="s">
        <v>25</v>
      </c>
    </row>
    <row r="36" spans="1:16" x14ac:dyDescent="0.25">
      <c r="N36" t="s">
        <v>26</v>
      </c>
      <c r="P36" s="8"/>
    </row>
    <row r="38" spans="1:16" x14ac:dyDescent="0.25">
      <c r="N38" t="s">
        <v>27</v>
      </c>
      <c r="P38" s="4">
        <f>$P$34*12</f>
        <v>20816.600000000002</v>
      </c>
    </row>
    <row r="39" spans="1:16" x14ac:dyDescent="0.25">
      <c r="N39" t="s">
        <v>28</v>
      </c>
      <c r="P39" s="4">
        <f>+P38-P16</f>
        <v>0</v>
      </c>
    </row>
    <row r="40" spans="1:16" x14ac:dyDescent="0.25">
      <c r="E40" t="s">
        <v>29</v>
      </c>
      <c r="F40" t="s">
        <v>30</v>
      </c>
      <c r="G40" t="s">
        <v>31</v>
      </c>
    </row>
    <row r="41" spans="1:16" x14ac:dyDescent="0.25">
      <c r="E41" s="9">
        <f>+P10</f>
        <v>13356.279999999997</v>
      </c>
      <c r="F41" s="9">
        <f>+P5</f>
        <v>5654.26</v>
      </c>
      <c r="G41" s="9">
        <f>+P13</f>
        <v>1806.0600000000004</v>
      </c>
      <c r="H41" s="10">
        <f>SUM(E41:G41)</f>
        <v>20816.599999999999</v>
      </c>
    </row>
    <row r="42" spans="1:16" x14ac:dyDescent="0.25">
      <c r="E42" s="11">
        <f>-P48</f>
        <v>-983.54233707824221</v>
      </c>
      <c r="F42" s="11">
        <f>-P49</f>
        <v>-306.93897873237864</v>
      </c>
      <c r="G42" s="11"/>
      <c r="H42" s="12">
        <f>SUM(E42:G42)</f>
        <v>-1290.4813158106208</v>
      </c>
    </row>
    <row r="43" spans="1:16" x14ac:dyDescent="0.25">
      <c r="E43" s="10">
        <f>SUM(E41:E42)</f>
        <v>12372.737662921754</v>
      </c>
      <c r="F43" s="10">
        <f>SUM(F41:F42)</f>
        <v>5347.3210212676213</v>
      </c>
      <c r="G43" s="10">
        <f>SUM(G41:G42)</f>
        <v>1806.0600000000004</v>
      </c>
      <c r="H43" s="10">
        <f>SUM(E43:G43)</f>
        <v>19526.118684189376</v>
      </c>
    </row>
    <row r="46" spans="1:16" x14ac:dyDescent="0.25">
      <c r="A46" t="s">
        <v>32</v>
      </c>
      <c r="E46" s="13">
        <f>'[3]Papier et Production'!$N$76/([3]Diffusion!$N$102+[3]Diffusion!$N$163+[3]Diffusion!$N$221)</f>
        <v>96.016666666666666</v>
      </c>
      <c r="F46" s="13">
        <f>'[4]Papier et Production'!$N$76/([4]Diffusion!$N$92+[4]Diffusion!$N$153+[4]Diffusion!$N$211)</f>
        <v>88.312849162011176</v>
      </c>
      <c r="G46" s="13">
        <f>'[5]Papier et Production'!$N$80/([5]Diffusion!$N$91)</f>
        <v>32.051282051282051</v>
      </c>
    </row>
    <row r="48" spans="1:16" x14ac:dyDescent="0.25">
      <c r="M48" t="s">
        <v>33</v>
      </c>
      <c r="P48" s="14">
        <f>+'[6]2019'!$F$8</f>
        <v>983.54233707824221</v>
      </c>
    </row>
    <row r="49" spans="1:16" x14ac:dyDescent="0.25">
      <c r="M49" t="s">
        <v>34</v>
      </c>
      <c r="P49" s="14">
        <f>+'[6]2019'!$F$9</f>
        <v>306.93897873237864</v>
      </c>
    </row>
    <row r="53" spans="1:16" x14ac:dyDescent="0.25">
      <c r="G53" s="15" t="s">
        <v>35</v>
      </c>
      <c r="H53" s="15" t="s">
        <v>36</v>
      </c>
      <c r="I53" s="15" t="s">
        <v>37</v>
      </c>
    </row>
    <row r="54" spans="1:16" x14ac:dyDescent="0.25">
      <c r="B54" t="s">
        <v>38</v>
      </c>
      <c r="E54" s="2" t="s">
        <v>21</v>
      </c>
      <c r="F54" s="2"/>
      <c r="G54" s="4">
        <f>+P10</f>
        <v>13356.279999999997</v>
      </c>
      <c r="H54" s="4">
        <f>-E42</f>
        <v>983.54233707824221</v>
      </c>
      <c r="I54" s="4">
        <f>+G54-H54</f>
        <v>12372.737662921754</v>
      </c>
    </row>
    <row r="55" spans="1:16" x14ac:dyDescent="0.25">
      <c r="E55" s="2" t="s">
        <v>15</v>
      </c>
      <c r="F55" s="2"/>
      <c r="G55" s="4">
        <f>+P5</f>
        <v>5654.26</v>
      </c>
      <c r="H55" s="4">
        <f>-F42</f>
        <v>306.93897873237864</v>
      </c>
      <c r="I55" s="4">
        <f t="shared" ref="I55:I56" si="6">+G55-H55</f>
        <v>5347.3210212676213</v>
      </c>
    </row>
    <row r="56" spans="1:16" x14ac:dyDescent="0.25">
      <c r="E56" s="2" t="s">
        <v>22</v>
      </c>
      <c r="F56" s="2"/>
      <c r="G56" s="16">
        <f>+P13</f>
        <v>1806.0600000000004</v>
      </c>
      <c r="H56" s="17">
        <v>0</v>
      </c>
      <c r="I56" s="16">
        <f t="shared" si="6"/>
        <v>1806.0600000000004</v>
      </c>
    </row>
    <row r="57" spans="1:16" x14ac:dyDescent="0.25">
      <c r="G57" s="4">
        <f>SUM(G54:G56)</f>
        <v>20816.599999999999</v>
      </c>
      <c r="H57" s="4">
        <f>SUM(H54:H56)</f>
        <v>1290.4813158106208</v>
      </c>
      <c r="I57" s="4">
        <f>SUM(I54:I56)</f>
        <v>19526.118684189376</v>
      </c>
    </row>
    <row r="61" spans="1:16" x14ac:dyDescent="0.25">
      <c r="G61" s="15" t="s">
        <v>35</v>
      </c>
      <c r="H61" s="15" t="s">
        <v>36</v>
      </c>
      <c r="I61" s="15" t="s">
        <v>37</v>
      </c>
    </row>
    <row r="62" spans="1:16" x14ac:dyDescent="0.25">
      <c r="A62" t="s">
        <v>39</v>
      </c>
      <c r="E62" s="2" t="s">
        <v>21</v>
      </c>
      <c r="F62" s="2"/>
      <c r="G62" s="4">
        <v>13423</v>
      </c>
      <c r="H62" s="4">
        <v>998</v>
      </c>
      <c r="I62" s="4">
        <f>+G62-H62</f>
        <v>12425</v>
      </c>
    </row>
    <row r="63" spans="1:16" x14ac:dyDescent="0.25">
      <c r="A63" t="s">
        <v>40</v>
      </c>
      <c r="E63" s="2" t="s">
        <v>15</v>
      </c>
      <c r="F63" s="2"/>
      <c r="G63" s="4">
        <v>5643.4</v>
      </c>
      <c r="H63" s="4">
        <v>303.8</v>
      </c>
      <c r="I63" s="4">
        <f t="shared" ref="I63:I64" si="7">+G63-H63</f>
        <v>5339.5999999999995</v>
      </c>
    </row>
    <row r="64" spans="1:16" x14ac:dyDescent="0.25">
      <c r="E64" s="2" t="s">
        <v>22</v>
      </c>
      <c r="F64" s="2"/>
      <c r="G64" s="16">
        <v>1754</v>
      </c>
      <c r="H64" s="17">
        <v>0</v>
      </c>
      <c r="I64" s="16">
        <f t="shared" si="7"/>
        <v>1754</v>
      </c>
    </row>
    <row r="65" spans="5:9" x14ac:dyDescent="0.25">
      <c r="G65" s="4">
        <f>SUM(G62:G64)</f>
        <v>20820.400000000001</v>
      </c>
      <c r="H65" s="4">
        <f>SUM(H62:H64)</f>
        <v>1301.8</v>
      </c>
      <c r="I65" s="4">
        <f>SUM(I62:I64)</f>
        <v>19518.599999999999</v>
      </c>
    </row>
    <row r="67" spans="5:9" x14ac:dyDescent="0.25">
      <c r="E67" s="2" t="s">
        <v>28</v>
      </c>
      <c r="G67" s="4">
        <f>+G57-G65</f>
        <v>-3.8000000000029104</v>
      </c>
      <c r="H67" s="4">
        <f>+H57-H65</f>
        <v>-11.318684189379155</v>
      </c>
      <c r="I67" s="4">
        <f>+I57-I65</f>
        <v>7.5186841893773817</v>
      </c>
    </row>
  </sheetData>
  <pageMargins left="0.7" right="0.7" top="0.75" bottom="0.75" header="0.3" footer="0.3"/>
  <pageSetup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Recycle Média</vt:lpstr>
      <vt:lpstr>'Calcul Recycle Média'!Zone_d_impression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Belair</dc:creator>
  <cp:lastModifiedBy>Sonia Belair</cp:lastModifiedBy>
  <dcterms:created xsi:type="dcterms:W3CDTF">2020-02-27T20:26:12Z</dcterms:created>
  <dcterms:modified xsi:type="dcterms:W3CDTF">2020-02-27T20:37:17Z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